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trlProps/ctrlProp17.xml" ContentType="application/vnd.ms-excel.controlproperti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xmlns:mc="http://schemas.openxmlformats.org/markup-compatibility/2006">
    <mc:Choice Requires="x15">
      <x15ac:absPath xmlns:x15ac="http://schemas.microsoft.com/office/spreadsheetml/2010/11/ac" url="\\netz.local\RRI-IT\User-Folders\h.toebben\Downloads\"/>
    </mc:Choice>
  </mc:AlternateContent>
  <xr:revisionPtr revIDLastSave="0" documentId="13_ncr:1_{BDC17D8F-9C18-4F5C-8623-F75876AA6635}" xr6:coauthVersionLast="36" xr6:coauthVersionMax="47" xr10:uidLastSave="{00000000-0000-0000-0000-000000000000}"/>
  <bookViews>
    <workbookView xWindow="0" yWindow="0" windowWidth="21570" windowHeight="7995" xr2:uid="{A6637C9C-E24F-1D40-8E13-92433725AC36}"/>
  </bookViews>
  <sheets>
    <sheet name="Erklärung Deutsch" sheetId="12" r:id="rId1"/>
    <sheet name="INTRO" sheetId="8" r:id="rId2"/>
    <sheet name="1. HOUSEHOLD TEMPERATURE" sheetId="4" r:id="rId3"/>
    <sheet name="2. HOT WATER" sheetId="5" r:id="rId4"/>
    <sheet name="3. HEAT PUMP CALCULATION" sheetId="2" r:id="rId5"/>
    <sheet name="4. RADIATORS" sheetId="10" r:id="rId6"/>
    <sheet name="5 RADIATORS " sheetId="11" r:id="rId7"/>
    <sheet name="6.  SUMMARY" sheetId="9" r:id="rId8"/>
    <sheet name="Reference -UK HDD Data" sheetId="3" r:id="rId9"/>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9" i="9" l="1"/>
  <c r="D30" i="9"/>
  <c r="B10" i="2" a="1"/>
  <c r="B10" i="2" s="1"/>
  <c r="B6" i="9" a="1"/>
  <c r="B6" i="9" s="1"/>
  <c r="M20" i="9"/>
  <c r="N20" i="9"/>
  <c r="B7" i="10" a="1"/>
  <c r="B7" i="10" s="1"/>
  <c r="D17" i="10" a="1"/>
  <c r="D17" i="10" s="1"/>
  <c r="J22" i="11"/>
  <c r="J23" i="11"/>
  <c r="J24" i="11"/>
  <c r="J25" i="11"/>
  <c r="J26" i="11"/>
  <c r="J27" i="11"/>
  <c r="J4" i="11"/>
  <c r="J5" i="11"/>
  <c r="D18" i="9" s="1"/>
  <c r="D28" i="11"/>
  <c r="A28" i="11"/>
  <c r="M27" i="11"/>
  <c r="I27" i="11"/>
  <c r="H27" i="11"/>
  <c r="G27" i="11"/>
  <c r="F27" i="11"/>
  <c r="E27" i="11"/>
  <c r="D27" i="11"/>
  <c r="A27" i="11"/>
  <c r="M26" i="11"/>
  <c r="I26" i="11"/>
  <c r="H26" i="11"/>
  <c r="G26" i="11"/>
  <c r="F26" i="11"/>
  <c r="E26" i="11"/>
  <c r="D26" i="11"/>
  <c r="A26" i="11"/>
  <c r="M25" i="11"/>
  <c r="I25" i="11"/>
  <c r="H25" i="11"/>
  <c r="G25" i="11"/>
  <c r="F25" i="11"/>
  <c r="E25" i="11"/>
  <c r="D25" i="11"/>
  <c r="A25" i="11"/>
  <c r="M24" i="11"/>
  <c r="I24" i="11"/>
  <c r="H24" i="11"/>
  <c r="G24" i="11"/>
  <c r="F24" i="11"/>
  <c r="E24" i="11"/>
  <c r="D24" i="11"/>
  <c r="A24" i="11"/>
  <c r="M23" i="11"/>
  <c r="I23" i="11"/>
  <c r="H23" i="11"/>
  <c r="G23" i="11"/>
  <c r="F23" i="11"/>
  <c r="E23" i="11"/>
  <c r="D23" i="11"/>
  <c r="A23" i="11"/>
  <c r="I22" i="11"/>
  <c r="H22" i="11"/>
  <c r="G22" i="11"/>
  <c r="F22" i="11"/>
  <c r="E22" i="11"/>
  <c r="D22" i="11"/>
  <c r="A22" i="11"/>
  <c r="I21" i="11"/>
  <c r="G21" i="11"/>
  <c r="F21" i="11"/>
  <c r="D21" i="11"/>
  <c r="A21" i="11"/>
  <c r="C13" i="11" a="1"/>
  <c r="H17" i="11" l="1"/>
  <c r="D14" i="11"/>
  <c r="A18" i="11"/>
  <c r="F14" i="11"/>
  <c r="G14" i="11"/>
  <c r="I14" i="11" s="1"/>
  <c r="F18" i="11"/>
  <c r="D18" i="11"/>
  <c r="D15" i="11"/>
  <c r="F15" i="11"/>
  <c r="F20" i="11"/>
  <c r="A16" i="11"/>
  <c r="G20" i="11"/>
  <c r="I20" i="11" s="1"/>
  <c r="G17" i="11"/>
  <c r="I17" i="11" s="1"/>
  <c r="G15" i="11"/>
  <c r="H18" i="11"/>
  <c r="F19" i="11"/>
  <c r="C13" i="11"/>
  <c r="G16" i="11"/>
  <c r="D17" i="11"/>
  <c r="A20" i="11"/>
  <c r="D16" i="11"/>
  <c r="A19" i="11"/>
  <c r="H15" i="11"/>
  <c r="G18" i="11"/>
  <c r="I18" i="11" s="1"/>
  <c r="D19" i="11"/>
  <c r="F16" i="11"/>
  <c r="A17" i="11"/>
  <c r="H16" i="11"/>
  <c r="F17" i="11"/>
  <c r="G19" i="11"/>
  <c r="D20" i="11"/>
  <c r="I15" i="11" l="1"/>
  <c r="I19" i="11"/>
  <c r="D13" i="11"/>
  <c r="G13" i="11"/>
  <c r="I13" i="11" s="1"/>
  <c r="F13" i="11"/>
  <c r="I16" i="11"/>
  <c r="I11" i="11" l="1"/>
  <c r="A18" i="10" l="1"/>
  <c r="A19" i="10"/>
  <c r="A20" i="10"/>
  <c r="A21" i="10"/>
  <c r="A22" i="10"/>
  <c r="A23" i="10"/>
  <c r="A24" i="10"/>
  <c r="A25" i="10"/>
  <c r="E74" i="10" l="1" a="1"/>
  <c r="G86" i="10" s="1"/>
  <c r="C62" i="10"/>
  <c r="E62" i="10" s="1"/>
  <c r="G62" i="10" s="1"/>
  <c r="C61" i="10"/>
  <c r="E61" i="10" s="1"/>
  <c r="G61" i="10" s="1"/>
  <c r="H61" i="10" s="1"/>
  <c r="C60" i="10"/>
  <c r="E60" i="10" s="1"/>
  <c r="G60" i="10" s="1"/>
  <c r="C59" i="10"/>
  <c r="E59" i="10" s="1"/>
  <c r="G59" i="10" s="1"/>
  <c r="C58" i="10"/>
  <c r="E58" i="10" s="1"/>
  <c r="G58" i="10" s="1"/>
  <c r="H58" i="10" s="1"/>
  <c r="H60" i="10" l="1"/>
  <c r="H59" i="10"/>
  <c r="H62" i="10"/>
  <c r="G75" i="10"/>
  <c r="H75" i="10" s="1"/>
  <c r="G77" i="10"/>
  <c r="H77" i="10" s="1"/>
  <c r="G79" i="10"/>
  <c r="G82" i="10"/>
  <c r="G83" i="10"/>
  <c r="G85" i="10"/>
  <c r="G80" i="10"/>
  <c r="G81" i="10"/>
  <c r="E74" i="10"/>
  <c r="G72" i="10" s="1"/>
  <c r="H72" i="10" s="1"/>
  <c r="G74" i="10"/>
  <c r="H74" i="10" s="1"/>
  <c r="G76" i="10"/>
  <c r="H76" i="10" s="1"/>
  <c r="G78" i="10"/>
  <c r="H78" i="10" s="1"/>
  <c r="G84" i="10"/>
  <c r="G73" i="10"/>
  <c r="H73" i="10" s="1"/>
  <c r="N19" i="9"/>
  <c r="M19" i="9"/>
  <c r="A17" i="10" l="1"/>
  <c r="H68" i="10"/>
  <c r="H66" i="10"/>
  <c r="D7" i="9"/>
  <c r="D36" i="9" s="1"/>
  <c r="D12" i="9"/>
  <c r="D6" i="9"/>
  <c r="D13" i="9" l="1"/>
  <c r="D14" i="9"/>
  <c r="I78" i="10"/>
  <c r="J78" i="10" s="1"/>
  <c r="I76" i="10"/>
  <c r="J76" i="10" s="1"/>
  <c r="I74" i="10"/>
  <c r="J74" i="10" s="1"/>
  <c r="I72" i="10"/>
  <c r="J72" i="10" s="1"/>
  <c r="I75" i="10"/>
  <c r="J75" i="10" s="1"/>
  <c r="I77" i="10"/>
  <c r="J77" i="10" s="1"/>
  <c r="I73" i="10"/>
  <c r="J73" i="10" s="1"/>
  <c r="D23" i="9"/>
  <c r="D24" i="9" s="1"/>
  <c r="D37" i="9"/>
  <c r="I35" i="9" s="1"/>
  <c r="D11" i="2" l="1"/>
  <c r="C8" i="5"/>
  <c r="D20" i="2"/>
  <c r="W6" i="4"/>
  <c r="X6" i="4"/>
  <c r="Y6" i="4"/>
  <c r="Z6" i="4"/>
  <c r="AA6" i="4"/>
  <c r="AB6" i="4"/>
  <c r="AC6" i="4" s="1"/>
  <c r="V6" i="4"/>
  <c r="O6" i="4"/>
  <c r="P6" i="4" s="1"/>
  <c r="Q6" i="4" s="1"/>
  <c r="R6" i="4" s="1"/>
  <c r="S6" i="4" s="1"/>
  <c r="T6" i="4" s="1"/>
  <c r="U6" i="4" s="1"/>
  <c r="K6" i="4"/>
  <c r="L6" i="4" s="1"/>
  <c r="M6" i="4" s="1"/>
  <c r="N6" i="4" s="1"/>
  <c r="E6" i="4"/>
  <c r="G6" i="4" s="1"/>
  <c r="D21" i="2" l="1"/>
  <c r="D22" i="2" s="1"/>
  <c r="D16" i="9" s="1"/>
  <c r="H6" i="4"/>
  <c r="I6" i="4"/>
  <c r="J6" i="4" s="1"/>
  <c r="F6" i="4"/>
  <c r="CG13" i="3"/>
  <c r="I10" i="3"/>
  <c r="J10" i="3"/>
  <c r="CD10" i="3"/>
  <c r="CI31" i="3" s="1"/>
  <c r="CC10" i="3"/>
  <c r="CH31" i="3" s="1"/>
  <c r="CB10" i="3"/>
  <c r="CG31" i="3" s="1"/>
  <c r="BZ10" i="3"/>
  <c r="CI30" i="3" s="1"/>
  <c r="BY10" i="3"/>
  <c r="CH30" i="3" s="1"/>
  <c r="BX10" i="3"/>
  <c r="CG30" i="3" s="1"/>
  <c r="BV10" i="3"/>
  <c r="CI29" i="3" s="1"/>
  <c r="BU10" i="3"/>
  <c r="CH29" i="3" s="1"/>
  <c r="BT10" i="3"/>
  <c r="BR10" i="3"/>
  <c r="BQ10" i="3"/>
  <c r="CH28" i="3" s="1"/>
  <c r="BP10" i="3"/>
  <c r="CG28" i="3" s="1"/>
  <c r="BN10" i="3"/>
  <c r="CI27" i="3" s="1"/>
  <c r="BM10" i="3"/>
  <c r="CH27" i="3" s="1"/>
  <c r="BL10" i="3"/>
  <c r="CG27" i="3" s="1"/>
  <c r="BJ10" i="3"/>
  <c r="CI26" i="3" s="1"/>
  <c r="BI10" i="3"/>
  <c r="BH10" i="3"/>
  <c r="BF10" i="3"/>
  <c r="CI25" i="3" s="1"/>
  <c r="BE10" i="3"/>
  <c r="CH25" i="3" s="1"/>
  <c r="BD10" i="3"/>
  <c r="CG25" i="3" s="1"/>
  <c r="BB10" i="3"/>
  <c r="CI24" i="3" s="1"/>
  <c r="BA10" i="3"/>
  <c r="CH24" i="3" s="1"/>
  <c r="AZ10" i="3"/>
  <c r="CG24" i="3" s="1"/>
  <c r="AX10" i="3"/>
  <c r="CI23" i="3" s="1"/>
  <c r="AW10" i="3"/>
  <c r="CH23" i="3" s="1"/>
  <c r="AV10" i="3"/>
  <c r="CG23" i="3" s="1"/>
  <c r="AT10" i="3"/>
  <c r="CI22" i="3" s="1"/>
  <c r="AS10" i="3"/>
  <c r="CH22" i="3" s="1"/>
  <c r="AR10" i="3"/>
  <c r="CG22" i="3" s="1"/>
  <c r="AP10" i="3"/>
  <c r="CI21" i="3" s="1"/>
  <c r="AO10" i="3"/>
  <c r="CH21" i="3" s="1"/>
  <c r="AN10" i="3"/>
  <c r="AL10" i="3"/>
  <c r="AK10" i="3"/>
  <c r="CH20" i="3" s="1"/>
  <c r="AJ10" i="3"/>
  <c r="CG20" i="3" s="1"/>
  <c r="AH10" i="3"/>
  <c r="CI19" i="3" s="1"/>
  <c r="AG10" i="3"/>
  <c r="CH19" i="3" s="1"/>
  <c r="AF10" i="3"/>
  <c r="CG19" i="3" s="1"/>
  <c r="AD10" i="3"/>
  <c r="CI18" i="3" s="1"/>
  <c r="AC10" i="3"/>
  <c r="AC9" i="3" s="1"/>
  <c r="AB10" i="3"/>
  <c r="AB9" i="3" s="1"/>
  <c r="Z10" i="3"/>
  <c r="CI17" i="3" s="1"/>
  <c r="Y10" i="3"/>
  <c r="CH17" i="3" s="1"/>
  <c r="X10" i="3"/>
  <c r="CG17" i="3" s="1"/>
  <c r="V10" i="3"/>
  <c r="CI16" i="3" s="1"/>
  <c r="U10" i="3"/>
  <c r="CH16" i="3" s="1"/>
  <c r="T10" i="3"/>
  <c r="CG16" i="3" s="1"/>
  <c r="R10" i="3"/>
  <c r="CI15" i="3" s="1"/>
  <c r="Q10" i="3"/>
  <c r="CH15" i="3" s="1"/>
  <c r="P10" i="3"/>
  <c r="CG15" i="3" s="1"/>
  <c r="N10" i="3"/>
  <c r="CI14" i="3" s="1"/>
  <c r="M10" i="3"/>
  <c r="CH14" i="3" s="1"/>
  <c r="L10" i="3"/>
  <c r="CG14" i="3" s="1"/>
  <c r="CH13" i="3"/>
  <c r="H10" i="3"/>
  <c r="I7" i="3" s="1"/>
  <c r="AE6" i="4" l="1"/>
  <c r="D13" i="2" s="1"/>
  <c r="AH6" i="4"/>
  <c r="D14" i="2" s="1"/>
  <c r="D31" i="2"/>
  <c r="AN9" i="3"/>
  <c r="BT9" i="3"/>
  <c r="BT8" i="3" s="1"/>
  <c r="CJ27" i="3"/>
  <c r="I9" i="3"/>
  <c r="I8" i="3" s="1"/>
  <c r="BQ9" i="3"/>
  <c r="BZ9" i="3"/>
  <c r="BZ8" i="3" s="1"/>
  <c r="BI9" i="3"/>
  <c r="BI8" i="3" s="1"/>
  <c r="J9" i="3"/>
  <c r="J8" i="3" s="1"/>
  <c r="BF9" i="3"/>
  <c r="CJ15" i="3"/>
  <c r="AT9" i="3"/>
  <c r="AT8" i="3" s="1"/>
  <c r="CC7" i="3"/>
  <c r="AL9" i="3"/>
  <c r="AL8" i="3" s="1"/>
  <c r="BH9" i="3"/>
  <c r="BH8" i="3" s="1"/>
  <c r="BR9" i="3"/>
  <c r="BR8" i="3" s="1"/>
  <c r="N9" i="3"/>
  <c r="CJ23" i="3"/>
  <c r="CJ31" i="3"/>
  <c r="CC9" i="3"/>
  <c r="CC8" i="3" s="1"/>
  <c r="AW9" i="3"/>
  <c r="AW8" i="3" s="1"/>
  <c r="Q9" i="3"/>
  <c r="Q8" i="3" s="1"/>
  <c r="AB8" i="3"/>
  <c r="BY9" i="3"/>
  <c r="BY8" i="3" s="1"/>
  <c r="BN9" i="3"/>
  <c r="BN8" i="3" s="1"/>
  <c r="BD9" i="3"/>
  <c r="BD8" i="3" s="1"/>
  <c r="AS9" i="3"/>
  <c r="AH9" i="3"/>
  <c r="AH8" i="3" s="1"/>
  <c r="X9" i="3"/>
  <c r="X8" i="3" s="1"/>
  <c r="M9" i="3"/>
  <c r="M8" i="3" s="1"/>
  <c r="CB9" i="3"/>
  <c r="CB8" i="3" s="1"/>
  <c r="BX9" i="3"/>
  <c r="BX8" i="3" s="1"/>
  <c r="BM9" i="3"/>
  <c r="BM8" i="3" s="1"/>
  <c r="BB9" i="3"/>
  <c r="AR9" i="3"/>
  <c r="AG9" i="3"/>
  <c r="AG8" i="3" s="1"/>
  <c r="V9" i="3"/>
  <c r="V8" i="3" s="1"/>
  <c r="L9" i="3"/>
  <c r="L8" i="3" s="1"/>
  <c r="AV9" i="3"/>
  <c r="AV8" i="3" s="1"/>
  <c r="Z9" i="3"/>
  <c r="Z8" i="3" s="1"/>
  <c r="BP9" i="3"/>
  <c r="BP8" i="3" s="1"/>
  <c r="Y9" i="3"/>
  <c r="BV9" i="3"/>
  <c r="BV8" i="3" s="1"/>
  <c r="BL9" i="3"/>
  <c r="BA9" i="3"/>
  <c r="BA8" i="3" s="1"/>
  <c r="AP9" i="3"/>
  <c r="AP8" i="3" s="1"/>
  <c r="AF9" i="3"/>
  <c r="AF8" i="3" s="1"/>
  <c r="U9" i="3"/>
  <c r="U8" i="3" s="1"/>
  <c r="P9" i="3"/>
  <c r="P8" i="3" s="1"/>
  <c r="Q7" i="3"/>
  <c r="CJ25" i="3"/>
  <c r="BU9" i="3"/>
  <c r="BU8" i="3" s="1"/>
  <c r="BJ9" i="3"/>
  <c r="BJ8" i="3" s="1"/>
  <c r="AZ9" i="3"/>
  <c r="AZ8" i="3" s="1"/>
  <c r="AO9" i="3"/>
  <c r="AO8" i="3" s="1"/>
  <c r="AD9" i="3"/>
  <c r="AD8" i="3" s="1"/>
  <c r="T9" i="3"/>
  <c r="T8" i="3" s="1"/>
  <c r="AK9" i="3"/>
  <c r="BE9" i="3"/>
  <c r="BE8" i="3" s="1"/>
  <c r="AJ9" i="3"/>
  <c r="AJ8" i="3" s="1"/>
  <c r="CJ17" i="3"/>
  <c r="AW7" i="3"/>
  <c r="CD9" i="3"/>
  <c r="CD8" i="3" s="1"/>
  <c r="AX9" i="3"/>
  <c r="AX8" i="3" s="1"/>
  <c r="R9" i="3"/>
  <c r="H9" i="3"/>
  <c r="H8" i="3" s="1"/>
  <c r="Y8" i="3"/>
  <c r="AS8" i="3"/>
  <c r="M7" i="3"/>
  <c r="AC8" i="3"/>
  <c r="CJ22" i="3"/>
  <c r="AS7" i="3"/>
  <c r="CJ19" i="3"/>
  <c r="AO7" i="3"/>
  <c r="BY7" i="3"/>
  <c r="CI13" i="3"/>
  <c r="CJ16" i="3"/>
  <c r="CJ24" i="3"/>
  <c r="CJ30" i="3"/>
  <c r="U7" i="3"/>
  <c r="BE7" i="3"/>
  <c r="AC7" i="3"/>
  <c r="BQ7" i="3"/>
  <c r="BA7" i="3"/>
  <c r="Y7" i="3"/>
  <c r="BM7" i="3"/>
  <c r="N8" i="3"/>
  <c r="AG7" i="3"/>
  <c r="AK7" i="3"/>
  <c r="BU7" i="3"/>
  <c r="BL8" i="3"/>
  <c r="AN8" i="3"/>
  <c r="CJ14" i="3"/>
  <c r="CG18" i="3"/>
  <c r="CG26" i="3"/>
  <c r="AR8" i="3"/>
  <c r="BB8" i="3"/>
  <c r="CH18" i="3"/>
  <c r="CH26" i="3"/>
  <c r="CI20" i="3"/>
  <c r="CJ20" i="3" s="1"/>
  <c r="CI28" i="3"/>
  <c r="CJ28" i="3" s="1"/>
  <c r="AK8" i="3"/>
  <c r="BF8" i="3"/>
  <c r="BQ8" i="3"/>
  <c r="CG21" i="3"/>
  <c r="CJ21" i="3" s="1"/>
  <c r="CG29" i="3"/>
  <c r="CJ29" i="3" s="1"/>
  <c r="BI7" i="3"/>
  <c r="R8" i="3"/>
  <c r="D10" i="9" l="1"/>
  <c r="E7" i="10"/>
  <c r="J6" i="11" s="1"/>
  <c r="D19" i="2"/>
  <c r="D9" i="9"/>
  <c r="AA10" i="4"/>
  <c r="AA11" i="4" s="1"/>
  <c r="I12" i="2"/>
  <c r="I16" i="2" s="1"/>
  <c r="CJ13" i="3"/>
  <c r="CJ18" i="3"/>
  <c r="CJ26" i="3"/>
  <c r="J21" i="11" l="1"/>
  <c r="J18" i="11"/>
  <c r="J16" i="11"/>
  <c r="J17" i="11"/>
  <c r="J14" i="11"/>
  <c r="J15" i="11"/>
  <c r="J20" i="11"/>
  <c r="J13" i="11"/>
  <c r="J8" i="11" s="1"/>
  <c r="J19" i="11"/>
  <c r="I14" i="2"/>
  <c r="I19" i="2"/>
  <c r="I27" i="2"/>
  <c r="I30" i="2"/>
  <c r="I23" i="2"/>
  <c r="I33" i="2"/>
  <c r="I18" i="2"/>
  <c r="I31" i="2"/>
  <c r="I24" i="2"/>
  <c r="I28" i="2"/>
  <c r="I32" i="2"/>
  <c r="I13" i="2"/>
  <c r="I26" i="2"/>
  <c r="I20" i="2"/>
  <c r="I25" i="2"/>
  <c r="I21" i="2"/>
  <c r="I29" i="2"/>
  <c r="I22" i="2"/>
  <c r="I15" i="2"/>
  <c r="I17" i="2"/>
  <c r="CI5" i="3"/>
  <c r="CN5" i="3" s="1"/>
  <c r="CI7" i="3"/>
  <c r="D17" i="2" l="1"/>
  <c r="D24" i="2" s="1"/>
  <c r="D25" i="2" s="1"/>
  <c r="D26" i="2" s="1"/>
  <c r="CJ7" i="3"/>
  <c r="CP5" i="3"/>
  <c r="CP6" i="3" s="1"/>
  <c r="CO5" i="3"/>
  <c r="CO6" i="3" s="1"/>
  <c r="CN6" i="3"/>
  <c r="D28" i="2" l="1"/>
  <c r="D27" i="2"/>
  <c r="F21" i="2"/>
  <c r="D17" i="9" l="1"/>
  <c r="D19" i="9" s="1"/>
  <c r="E8" i="10"/>
  <c r="D25" i="9"/>
  <c r="D38" i="9" s="1"/>
  <c r="F22" i="2"/>
  <c r="J7" i="11" l="1"/>
  <c r="J9" i="11" s="1"/>
  <c r="E26" i="10"/>
  <c r="H24" i="10"/>
  <c r="H23" i="10"/>
  <c r="I24" i="10"/>
  <c r="H26" i="10"/>
  <c r="I23" i="10"/>
  <c r="E24" i="10"/>
  <c r="H25" i="10"/>
  <c r="H22" i="10"/>
  <c r="H21" i="10"/>
  <c r="I20" i="10"/>
  <c r="G20" i="10"/>
  <c r="G22" i="10"/>
  <c r="F26" i="10"/>
  <c r="I26" i="10"/>
  <c r="G26" i="10"/>
  <c r="G25" i="10"/>
  <c r="E18" i="10"/>
  <c r="G24" i="10"/>
  <c r="G23" i="10"/>
  <c r="F24" i="10"/>
  <c r="E23" i="10"/>
  <c r="E25" i="10"/>
  <c r="I25" i="10"/>
  <c r="E19" i="10"/>
  <c r="I18" i="10"/>
  <c r="H19" i="10"/>
  <c r="H18" i="10"/>
  <c r="E22" i="10"/>
  <c r="G19" i="10"/>
  <c r="F21" i="10"/>
  <c r="F18" i="10"/>
  <c r="G18" i="10"/>
  <c r="F20" i="10"/>
  <c r="F25" i="10"/>
  <c r="E21" i="10"/>
  <c r="I22" i="10"/>
  <c r="I19" i="10"/>
  <c r="E20" i="10"/>
  <c r="I21" i="10"/>
  <c r="F19" i="10"/>
  <c r="G21" i="10"/>
  <c r="H20" i="10"/>
  <c r="F23" i="10"/>
  <c r="F22" i="10"/>
  <c r="E17" i="10"/>
  <c r="I17" i="10"/>
  <c r="G17" i="10"/>
  <c r="F17" i="10"/>
  <c r="H17" i="10"/>
  <c r="D39" i="9"/>
  <c r="I36" i="9" s="1"/>
  <c r="D31" i="9"/>
  <c r="D32" i="9" s="1"/>
  <c r="D40" i="9" l="1"/>
  <c r="D41" i="9" s="1"/>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C21" i="11"/>
  <c r="C20" i="11"/>
  <c r="C19" i="11"/>
  <c r="C18" i="11"/>
  <c r="C17" i="11"/>
  <c r="C16" i="11"/>
  <c r="C15" i="11"/>
  <c r="C14" i="11"/>
  <c r="E88" i="10"/>
  <c r="E87" i="10"/>
  <c r="E86" i="10"/>
  <c r="E85" i="10"/>
  <c r="E84" i="10"/>
  <c r="E83" i="10"/>
  <c r="E82" i="10"/>
  <c r="E81" i="10"/>
  <c r="E80" i="10"/>
  <c r="E79" i="10"/>
  <c r="E78" i="10"/>
  <c r="E77" i="10"/>
  <c r="E76" i="10"/>
  <c r="E75" i="10"/>
  <c r="D26" i="10"/>
  <c r="D25" i="10"/>
  <c r="D24" i="10"/>
  <c r="D23" i="10"/>
  <c r="D22" i="10"/>
  <c r="D21" i="10"/>
  <c r="D20" i="10"/>
  <c r="D19" i="10"/>
  <c r="D18" i="10"/>
  <c r="B26" i="10"/>
  <c r="B25" i="10"/>
  <c r="B24" i="10"/>
  <c r="B23" i="10"/>
  <c r="B22" i="10"/>
  <c r="B21" i="10"/>
  <c r="B20" i="10"/>
  <c r="B19" i="10"/>
  <c r="B18" i="10"/>
  <c r="B17" i="10"/>
  <c r="B16" i="10"/>
  <c r="B15" i="10"/>
  <c r="B14" i="10"/>
  <c r="B13" i="10"/>
  <c r="B12" i="10"/>
  <c r="B11" i="10"/>
  <c r="B10" i="10"/>
  <c r="B9" i="10"/>
  <c r="B8" i="10"/>
  <c r="B35" i="2"/>
  <c r="B34" i="2"/>
  <c r="B33" i="2"/>
  <c r="B32" i="2"/>
  <c r="B31" i="2"/>
  <c r="B30" i="2"/>
  <c r="B29" i="2"/>
  <c r="B28" i="2"/>
  <c r="B27" i="2"/>
  <c r="B26" i="2"/>
  <c r="B25" i="2"/>
  <c r="B24" i="2"/>
  <c r="B23" i="2"/>
  <c r="B22" i="2"/>
  <c r="B21" i="2"/>
  <c r="B20" i="2"/>
  <c r="B19" i="2"/>
  <c r="B18" i="2"/>
  <c r="B17" i="2"/>
  <c r="B16" i="2"/>
  <c r="B15" i="2"/>
  <c r="B14" i="2"/>
  <c r="B13" i="2"/>
  <c r="B12" i="2"/>
  <c r="B11"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<sst xmlns="http://schemas.openxmlformats.org/spreadsheetml/2006/main" count="512" uniqueCount="307">
  <si>
    <t>Notes</t>
  </si>
  <si>
    <t>Line</t>
  </si>
  <si>
    <t>Input</t>
  </si>
  <si>
    <t>Previous Year's Gas Consumption</t>
  </si>
  <si>
    <t>kWh(gas)/year</t>
  </si>
  <si>
    <t>°C</t>
  </si>
  <si>
    <t xml:space="preserve">Boiler Efficiency </t>
  </si>
  <si>
    <t>°C-days per year</t>
  </si>
  <si>
    <t>Location</t>
  </si>
  <si>
    <t>Newquay</t>
  </si>
  <si>
    <t>The amount of heat delivered to your property: based on lines 1 &amp; 3</t>
  </si>
  <si>
    <t>Heat supplied to property</t>
  </si>
  <si>
    <t>kWh (thermal)/year</t>
  </si>
  <si>
    <t>Dungeness</t>
  </si>
  <si>
    <t>Heat used for hot water</t>
  </si>
  <si>
    <t>Heathrow</t>
  </si>
  <si>
    <t>Heat used for space heating</t>
  </si>
  <si>
    <t>Exeter</t>
  </si>
  <si>
    <t>Cardiff</t>
  </si>
  <si>
    <t>Output</t>
  </si>
  <si>
    <t>Norwich</t>
  </si>
  <si>
    <t>Heat Transfer Coefficient</t>
  </si>
  <si>
    <t>W/°C</t>
  </si>
  <si>
    <t>Bangor</t>
  </si>
  <si>
    <t>kWh(thermal)/day per °C</t>
  </si>
  <si>
    <t>Birmingham</t>
  </si>
  <si>
    <t>kWh(thermal)/day</t>
  </si>
  <si>
    <t xml:space="preserve">Oxford </t>
  </si>
  <si>
    <t>kWh(gas)/day</t>
  </si>
  <si>
    <t>Bristol</t>
  </si>
  <si>
    <t>Heat Pump Size</t>
  </si>
  <si>
    <t>kW</t>
  </si>
  <si>
    <t xml:space="preserve">Manchester </t>
  </si>
  <si>
    <t>Cork</t>
  </si>
  <si>
    <t>Dublin</t>
  </si>
  <si>
    <t>Belfast</t>
  </si>
  <si>
    <t>Glasgow</t>
  </si>
  <si>
    <t>Edingburgh</t>
  </si>
  <si>
    <t>Newcastle</t>
  </si>
  <si>
    <t>Leeds &amp; Bradford</t>
  </si>
  <si>
    <t>Aberdeen</t>
  </si>
  <si>
    <t>Expected Daily Heating at design T</t>
  </si>
  <si>
    <t>Expected Daily Gas Use at design T</t>
  </si>
  <si>
    <t>Reference Temperature</t>
  </si>
  <si>
    <t xml:space="preserve">The coldest likely outside temperature at which the heat pump should be able to deal with </t>
  </si>
  <si>
    <t>Intermediate Results</t>
  </si>
  <si>
    <t>Bonus Calculation</t>
  </si>
  <si>
    <t>Household floor area</t>
  </si>
  <si>
    <t>m^2</t>
  </si>
  <si>
    <t>kWh(thermal)/year/m^2</t>
  </si>
  <si>
    <t>Insulation Figure of Merit</t>
  </si>
  <si>
    <t xml:space="preserve">Heating required per square metre of living space per year. </t>
  </si>
  <si>
    <t>Best possible: &lt;15</t>
  </si>
  <si>
    <t>Good Modern Good UK Home:&lt;50</t>
  </si>
  <si>
    <t>Best possible Retrofit: &lt;25</t>
  </si>
  <si>
    <t>If this result is &gt;100, think about improving the household insulation if possible</t>
  </si>
  <si>
    <t>The living area of your home which is heated</t>
  </si>
  <si>
    <t>This spreadsheet is designed to help you choose the optimum size of heat pump when replacing a gas boiler</t>
  </si>
  <si>
    <t>HDD</t>
  </si>
  <si>
    <t>Slope</t>
  </si>
  <si>
    <t>(average of August 2019 to July 2022)</t>
  </si>
  <si>
    <t>Look this up on your gas bill. 5000 kWh is a very small house 30,000kWh  is a very large house</t>
  </si>
  <si>
    <t xml:space="preserve">Heating Degree Days </t>
  </si>
  <si>
    <t>Typical Degree Day Results for UK</t>
  </si>
  <si>
    <t>&lt;&lt;Drop down Menu</t>
  </si>
  <si>
    <t>T(°C)</t>
  </si>
  <si>
    <t>Reference Data (HDD 16.5)</t>
  </si>
  <si>
    <t>Average</t>
  </si>
  <si>
    <t>Station ID</t>
  </si>
  <si>
    <t>±range</t>
  </si>
  <si>
    <t>EGHQ</t>
  </si>
  <si>
    <t>EGTE</t>
  </si>
  <si>
    <t>EGGD</t>
  </si>
  <si>
    <t>EGUB</t>
  </si>
  <si>
    <t>EGBB</t>
  </si>
  <si>
    <t>EGLL</t>
  </si>
  <si>
    <t>EGMD</t>
  </si>
  <si>
    <t>EGSH</t>
  </si>
  <si>
    <t>EGFF</t>
  </si>
  <si>
    <t>EGCC</t>
  </si>
  <si>
    <t>EGNM</t>
  </si>
  <si>
    <t>EGNT</t>
  </si>
  <si>
    <t>EGPF</t>
  </si>
  <si>
    <t>EGPH</t>
  </si>
  <si>
    <t>EGPD</t>
  </si>
  <si>
    <t>EGAA</t>
  </si>
  <si>
    <t>EIDW</t>
  </si>
  <si>
    <t>EICK</t>
  </si>
  <si>
    <t>Max</t>
  </si>
  <si>
    <t>Min</t>
  </si>
  <si>
    <t>°C=days/°C</t>
  </si>
  <si>
    <t>HDD Basis</t>
  </si>
  <si>
    <t>Benson, Oxford</t>
  </si>
  <si>
    <t>Rhyl</t>
  </si>
  <si>
    <t>Slope Analysis</t>
  </si>
  <si>
    <t>Averages of the last three years</t>
  </si>
  <si>
    <t>I have downloaded data for HDD 15.5. HDD, 16.5 and HDD 17.5 corresponding to the room temperatures of 19 °C, 20 °C, and 21 °C</t>
  </si>
  <si>
    <t>This sheet contains data downloaded from heatingdegreedays.net  for various UK locations based on data from August 2019 to July 2022</t>
  </si>
  <si>
    <t>3-year Average</t>
  </si>
  <si>
    <t>Difference from Heathrow</t>
  </si>
  <si>
    <t>Summary Table</t>
  </si>
  <si>
    <t>For Plotting</t>
  </si>
  <si>
    <t>Average Slope</t>
  </si>
  <si>
    <t>Station</t>
  </si>
  <si>
    <t>HDD Slope (°C-days/°C)</t>
  </si>
  <si>
    <t>°C-days Averages of the last three years</t>
  </si>
  <si>
    <t>Passivhaus</t>
  </si>
  <si>
    <t>Enerphit</t>
  </si>
  <si>
    <t>Scottish Building Standards</t>
  </si>
  <si>
    <t>For plotting</t>
  </si>
  <si>
    <t>Hour of the day</t>
  </si>
  <si>
    <t>Temperature (°C)</t>
  </si>
  <si>
    <t>Average Temperature (°C)</t>
  </si>
  <si>
    <t>Temperature 1</t>
  </si>
  <si>
    <t>Temperature 2</t>
  </si>
  <si>
    <t>Temperature 3</t>
  </si>
  <si>
    <t>Use this spreadsheet to estimate the way the temperature of your home varies in winter</t>
  </si>
  <si>
    <t>Reference temperature based on average daily temperature on line 4</t>
  </si>
  <si>
    <t>Estimated Heat Transfer Coefficient (as in line 12) but in different units</t>
  </si>
  <si>
    <t>Estimated peak Thermal Demand: based on Reference and Design Temperatures (Based on lines 5, 8 and 13)</t>
  </si>
  <si>
    <t>Estimated peak Daily Gas Use: based on peak thermal demand (line 14) and efficiency  (line 3)</t>
  </si>
  <si>
    <t xml:space="preserve">I have then evaluated the rate at which HDDs change as internal temperature changes: I call this the 'slope'. </t>
  </si>
  <si>
    <t>Use this spreadsheet to estimate amount of hot water you use each day</t>
  </si>
  <si>
    <t>How many people live in your home?</t>
  </si>
  <si>
    <t>kWh of hot water each day</t>
  </si>
  <si>
    <t>I guess your home uses</t>
  </si>
  <si>
    <t>Use the HOT WATER tab to estimate HOT WATER usage.</t>
  </si>
  <si>
    <t xml:space="preserve">When you think the answer is reasonably close, move on to the 'HOT WATER'  tab. </t>
  </si>
  <si>
    <t>When you have finished, move on to the 'HTC CALCULATION' tab.</t>
  </si>
  <si>
    <t>Maximum Temperature (°C)</t>
  </si>
  <si>
    <t>Use the HOUSEHOLD TEMPERATURE tab to generate the daily pattern which reflects your household temperature</t>
  </si>
  <si>
    <t>Heat pump power required for MAXIMUM internal temperature at OUTSIDE design temperature (line 6): based on line 12 (HTC) and line 5</t>
  </si>
  <si>
    <t>OUTSIDE Design Temperature</t>
  </si>
  <si>
    <t>The amount of heat used to heat your property: the difference between lines  10 &amp; 11</t>
  </si>
  <si>
    <t>The amount of heat used  for hot water: based on lines 2 &amp; 3</t>
  </si>
  <si>
    <t>Total Radiator Area</t>
  </si>
  <si>
    <t>Type</t>
  </si>
  <si>
    <t>Constant (W/m^2/°C)</t>
  </si>
  <si>
    <t>Height (m)</t>
  </si>
  <si>
    <t>Width (m)</t>
  </si>
  <si>
    <t>Area (m^2)</t>
  </si>
  <si>
    <t>Flow Temperature (°C)</t>
  </si>
  <si>
    <t>When you have finished with this page, move on to the radiators tab</t>
  </si>
  <si>
    <t>This spreadsheet is designed to help you understand whether your radiators are capable of releasing enough heat to keep you warm on cold days</t>
  </si>
  <si>
    <t>When you have finished with this page, move on to the Summary tab</t>
  </si>
  <si>
    <t xml:space="preserve">Number of Radiators </t>
  </si>
  <si>
    <t>(Between 3 &amp; 15)</t>
  </si>
  <si>
    <t>Enter the number of radiators in your home - between 3 and 15</t>
  </si>
  <si>
    <t>N</t>
  </si>
  <si>
    <t xml:space="preserve">Enter the type of radiator, its height and width. </t>
  </si>
  <si>
    <t>Daily Hot Water: See Tab 2</t>
  </si>
  <si>
    <t>AVERAGE Temperature: See Tab 1</t>
  </si>
  <si>
    <t>MAXIMUM Temperature: See Tab 1</t>
  </si>
  <si>
    <t>Heat Pump Calculator Spreadsheet</t>
  </si>
  <si>
    <t>Tab 1</t>
  </si>
  <si>
    <t>It calculates the average daily temperature and the maximum temperature</t>
  </si>
  <si>
    <t>Introduction</t>
  </si>
  <si>
    <t>This spreadsheet is designed to help people heating their home with a gas boiler understand the consequences of switching to heating with a heat pump.</t>
  </si>
  <si>
    <t>Tab 2</t>
  </si>
  <si>
    <t>Using this information it estimates the heat transfer coefficient for your home (HTC) and the size of heat pump you require.</t>
  </si>
  <si>
    <t>Tab 3</t>
  </si>
  <si>
    <t>Tab 4</t>
  </si>
  <si>
    <t>Tab 5</t>
  </si>
  <si>
    <t>Is the flow temperature required to heat your home on the coldest day is above 50 °C?</t>
  </si>
  <si>
    <t xml:space="preserve">This tab summarises the calculations </t>
  </si>
  <si>
    <t>SUMMARY</t>
  </si>
  <si>
    <t>This spreadsheet summarises the results of the previous calculations</t>
  </si>
  <si>
    <t>kWh</t>
  </si>
  <si>
    <t>Heat Pump Size Required</t>
  </si>
  <si>
    <t>Your home</t>
  </si>
  <si>
    <t>This is about</t>
  </si>
  <si>
    <t>kWh/day</t>
  </si>
  <si>
    <t>litres/day</t>
  </si>
  <si>
    <t>at 55 °C</t>
  </si>
  <si>
    <t>Internal Temperature</t>
  </si>
  <si>
    <t>Hot water</t>
  </si>
  <si>
    <t>Space Heating</t>
  </si>
  <si>
    <t>Based on the Calculation on Tab 3</t>
  </si>
  <si>
    <t>Based on the Calculation on Tab 3: In practice pick the heat pump around this value or one size up.</t>
  </si>
  <si>
    <t>This assumes water is heated from 15 °C to 55 °C</t>
  </si>
  <si>
    <t>Based on the entry in Tab 2</t>
  </si>
  <si>
    <t>Based on the entry in Tab 1</t>
  </si>
  <si>
    <t>Based on the entry in Tab 3</t>
  </si>
  <si>
    <t>Running Costs</t>
  </si>
  <si>
    <t>Gas Daily Cost</t>
  </si>
  <si>
    <t>p/kWh</t>
  </si>
  <si>
    <t>Annual Cost</t>
  </si>
  <si>
    <t>p/day</t>
  </si>
  <si>
    <t>£/year</t>
  </si>
  <si>
    <t>heating</t>
  </si>
  <si>
    <t>Monthly Cost</t>
  </si>
  <si>
    <t>hot water</t>
  </si>
  <si>
    <t>£/month</t>
  </si>
  <si>
    <t>Total Cost</t>
  </si>
  <si>
    <t>Hot Water Cost</t>
  </si>
  <si>
    <t>Cost of a unit of gas</t>
  </si>
  <si>
    <t>Daily Standing Charge</t>
  </si>
  <si>
    <t>Annual Cost based on Gas Consumption from Line 2</t>
  </si>
  <si>
    <t>Monthly Cost based on Annual Cost on Line 19</t>
  </si>
  <si>
    <t>Cost of a unit of electricity</t>
  </si>
  <si>
    <t>Electricity Daily Cost</t>
  </si>
  <si>
    <t>Space Heating Cost</t>
  </si>
  <si>
    <t>Based on the SCOP in Line 15and Heating to be delivered on Line 11</t>
  </si>
  <si>
    <t>Based on a COP of 2.5, and the amount of hot water to be prepared on Line 7</t>
  </si>
  <si>
    <t>Annual Cost based on adding Lines 24 and 25</t>
  </si>
  <si>
    <t>Your home is located near</t>
  </si>
  <si>
    <t>SCOP</t>
  </si>
  <si>
    <t>Max Flow T</t>
  </si>
  <si>
    <t>Intercept</t>
  </si>
  <si>
    <t>Carbon Dioxide</t>
  </si>
  <si>
    <t>Carbon Dioxide Intensity of a kWh of gas</t>
  </si>
  <si>
    <t>g/kWh</t>
  </si>
  <si>
    <t>Carbon Dioxide Intensity of a kWh of electricity</t>
  </si>
  <si>
    <t>Carbon dioxide emissions using gas</t>
  </si>
  <si>
    <t>kg CO2</t>
  </si>
  <si>
    <t>tonnes CO2</t>
  </si>
  <si>
    <t>Carbon dioxide emissions using electricity</t>
  </si>
  <si>
    <t>kWh_e</t>
  </si>
  <si>
    <t>Reduction in emissions from using a heat pump</t>
  </si>
  <si>
    <t>Carbon Intensity of  kWh of gas</t>
  </si>
  <si>
    <t>Carbon Intensity of  kWh of electricity</t>
  </si>
  <si>
    <t>Carbon Dioxide Emissions due to using a gas boiler to heat a home (kg)</t>
  </si>
  <si>
    <t>Carbon Dioxide Emissions due to using a gas boiler to heat a home (tonnes)</t>
  </si>
  <si>
    <t>Carbon Dioxide Emissions due to using a heat pump to heat a home (kg)</t>
  </si>
  <si>
    <t>Carbon Dioxide Emissions due to using a heat pump to heat a home (tonnes)</t>
  </si>
  <si>
    <t>Reduction in CO2 emissions associated with using a heat pump expressed in TONNES of carbon dioxide</t>
  </si>
  <si>
    <t>Reduction in CO2 emissions associated with using a heat pump expressed as a percentage</t>
  </si>
  <si>
    <t>1. AVERAGE HOUSEHOLD TEMPERATURE</t>
  </si>
  <si>
    <t>2. HOT WATER</t>
  </si>
  <si>
    <t>3. HEAT PUMP CALCULATION</t>
  </si>
  <si>
    <t>Temperature Drop Across Each Radiator</t>
  </si>
  <si>
    <t>Your annual gas consumption is</t>
  </si>
  <si>
    <t>The average desired temperature of your home is</t>
  </si>
  <si>
    <t>The maximum daily temperature in your home is</t>
  </si>
  <si>
    <t>Your annual space heating requirement is about</t>
  </si>
  <si>
    <t>Gas Unit Cost</t>
  </si>
  <si>
    <t>Electricity Unit Cost</t>
  </si>
  <si>
    <t>Gas</t>
  </si>
  <si>
    <t>Tonnes of Carbon Dioxide</t>
  </si>
  <si>
    <t>5kW</t>
  </si>
  <si>
    <t>7kW</t>
  </si>
  <si>
    <t>Data from Vaillant Arotherm Plus Spreadsheet</t>
  </si>
  <si>
    <t>This Tab allows you to specify the way the temperature currently varies in your home through a typical winter day.</t>
  </si>
  <si>
    <t>Instructions</t>
  </si>
  <si>
    <t>First Save a copy of the spreadsheet as you downloaded it and then use a 'working' copy for your calculations</t>
  </si>
  <si>
    <t>This Tab allows you to estimate how much of your gas consumption is used heating water and how much is used heating your home.</t>
  </si>
  <si>
    <t>This Tab combines inputs from the previous two Tabs together with the amount of gas you use each year and your location.</t>
  </si>
  <si>
    <t>This tab allows you enter the size and type of radiators currently in your home. It then estimates the temperature of the water required to flow around the radiators to keep you home comfortable.</t>
  </si>
  <si>
    <t>If so, the installation would benefit from either more radiators, larger radiators or better radiators. You can alter the number of radiators or their type or size in the spreadsheet to see the likely requirement..</t>
  </si>
  <si>
    <t>Sadly, I guarantee nothing about this spreadsheet. Nothing. I have tried my best, but this comes with no guarantee.</t>
  </si>
  <si>
    <t>Select from nearby location from the drop down menu</t>
  </si>
  <si>
    <t>Data Estimated based upon Location and your average household temperature.</t>
  </si>
  <si>
    <t>Radiator Type</t>
  </si>
  <si>
    <t>Type 10</t>
  </si>
  <si>
    <t>Type 11</t>
  </si>
  <si>
    <t>Type 21</t>
  </si>
  <si>
    <t>Type 22</t>
  </si>
  <si>
    <t>Type 33</t>
  </si>
  <si>
    <t>Radiator Constant</t>
  </si>
  <si>
    <t>W/m^2/°C</t>
  </si>
  <si>
    <t xml:space="preserve">I suggest 85% for a modern boiler and 70% for a boiler over 10 years old </t>
  </si>
  <si>
    <t>A box like this (yellow background with red text) is for you to enter a number</t>
  </si>
  <si>
    <t>A box like this (red background with yellow text) is the result of a calculation</t>
  </si>
  <si>
    <t>Supply to the whole house</t>
  </si>
  <si>
    <t>Maximum Room Temperature</t>
  </si>
  <si>
    <t>Total Power to be supplied</t>
  </si>
  <si>
    <t>W</t>
  </si>
  <si>
    <t>Temperature Drop across each Radiator</t>
  </si>
  <si>
    <t>Maximum  Flow Temperature</t>
  </si>
  <si>
    <t>Total Radiator Surface Area (m^2)</t>
  </si>
  <si>
    <t>https://www.clyderadiators.co.uk/delta-t-conversion</t>
  </si>
  <si>
    <t>Inlet</t>
  </si>
  <si>
    <t>Outlet</t>
  </si>
  <si>
    <t>Room</t>
  </si>
  <si>
    <t>Delta T</t>
  </si>
  <si>
    <t>Offset</t>
  </si>
  <si>
    <t>https://www.stelrad.com/wp-content/uploads/2018/05/The-Stelrad-Specification-Radiator-book.pdf</t>
  </si>
  <si>
    <t>Room Temperature</t>
  </si>
  <si>
    <t>Factor</t>
  </si>
  <si>
    <t>Average Flow Temperature</t>
  </si>
  <si>
    <t>Limited Ragne</t>
  </si>
  <si>
    <t>Predicted Factor</t>
  </si>
  <si>
    <t>The maximum temperature you require in your home - from TAB 1</t>
  </si>
  <si>
    <t>The Maximum heat pump power you require from TAB 3</t>
  </si>
  <si>
    <t>The Temperature drop across each radiator: A typical value is 10 °C</t>
  </si>
  <si>
    <t>The name of the different types of radiator = (Number of panels)(Number of sets of fins)</t>
  </si>
  <si>
    <t>The heat transfer radiator constants associated with each type of radiator</t>
  </si>
  <si>
    <t xml:space="preserve"> Flow T (°C)</t>
  </si>
  <si>
    <t>Heating Power  (W)</t>
  </si>
  <si>
    <t>of target</t>
  </si>
  <si>
    <t>Target Heating Power</t>
  </si>
  <si>
    <t>Actual HeatingPower</t>
  </si>
  <si>
    <t>Fraction of heating achieved</t>
  </si>
  <si>
    <t>5. DETAILED RADIATOR CALCULATIONS</t>
  </si>
  <si>
    <t>Flow Temperature</t>
  </si>
  <si>
    <t xml:space="preserve">  Achievable SCOP</t>
  </si>
  <si>
    <t>Based on the flow temperature value in Tab 4</t>
  </si>
  <si>
    <t xml:space="preserve"> Electrical Consumption per year to replace Gas Boiler</t>
  </si>
  <si>
    <t>Diagram showing what the radiator looks like from above: Radiators can be labelled with two numbers: the first number is the number of radiator panels through which water flows, and the second number is the number of sets of fins attached to the panels. So, for a example, a Type 21 radiator has 2 panels and 1 set of fins</t>
  </si>
  <si>
    <t>The Maximum Flow Temperature you are prepared to accept: Keep to 50 °C or below for good heat pump performance</t>
  </si>
  <si>
    <t>Heat Pump</t>
  </si>
  <si>
    <t>Amount of electricity Required to supply hot water at a COP of 2.5</t>
  </si>
  <si>
    <t>kWh/year</t>
  </si>
  <si>
    <t>The amount gas you use to heat water each day is</t>
  </si>
  <si>
    <t>Based on the performance specification of Vaillant Arotherm Pump</t>
  </si>
  <si>
    <t xml:space="preserve"> HEAT TRANSFER COEFFICIENT: Heating power (in watts)  to raise your dwelling 1 °C above the outside temperature: based on lines 7 &amp; 11</t>
  </si>
  <si>
    <t>4. RADIATOR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</si>
</sst>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0.0"/>
    <numFmt numFmtId="166" formatCode="#,##0.0"/>
    <numFmt numFmtId="167" formatCode="0.0%"/>
    <numFmt numFmtId="168" formatCode="0.000"/>
    <numFmt numFmtId="169" formatCode="&quot;£&quot;#,##0.00"/>
    <numFmt numFmtId="170" formatCode="&quot;£&quot;#,##0"/>
  </numFmts>
  <fonts count="39">
    <font>
      <sz val="12"/>
      <color theme="1"/>
      <name val="Calibri"/>
      <family val="2"/>
      <scheme val="minor"/>
    </font>
    <font>
      <sz val="12"/>
      <color theme="1"/>
      <name val="Calibri"/>
      <family val="2"/>
      <scheme val="minor"/>
    </font>
    <font>
      <sz val="20"/>
      <color theme="1"/>
      <name val="Calibri"/>
      <family val="2"/>
      <scheme val="minor"/>
    </font>
    <font>
      <b/>
      <sz val="20"/>
      <color rgb="FFFF0000"/>
      <name val="Calibri"/>
      <family val="2"/>
      <scheme val="minor"/>
    </font>
    <font>
      <b/>
      <sz val="20"/>
      <color rgb="FFFFFF00"/>
      <name val="Calibri"/>
      <family val="2"/>
      <scheme val="minor"/>
    </font>
    <font>
      <b/>
      <sz val="20"/>
      <color theme="1"/>
      <name val="Calibri"/>
      <family val="2"/>
      <scheme val="minor"/>
    </font>
    <font>
      <sz val="14"/>
      <color theme="1"/>
      <name val="Calibri"/>
      <family val="2"/>
      <scheme val="minor"/>
    </font>
    <font>
      <b/>
      <sz val="12"/>
      <color theme="1"/>
      <name val="Calibri"/>
      <family val="2"/>
      <scheme val="minor"/>
    </font>
    <font>
      <sz val="8"/>
      <name val="Calibri"/>
      <family val="2"/>
      <scheme val="minor"/>
    </font>
    <font>
      <sz val="10"/>
      <color rgb="FF000000"/>
      <name val="Helvetica Neue"/>
      <family val="2"/>
    </font>
    <font>
      <b/>
      <sz val="10"/>
      <color rgb="FF000000"/>
      <name val="Helvetica Neue"/>
      <family val="2"/>
    </font>
    <font>
      <sz val="16"/>
      <color theme="1"/>
      <name val="Calibri"/>
      <family val="2"/>
      <scheme val="minor"/>
    </font>
    <font>
      <sz val="20"/>
      <color rgb="FF0432FF"/>
      <name val="Calibri"/>
      <family val="2"/>
      <scheme val="minor"/>
    </font>
    <font>
      <sz val="20"/>
      <color rgb="FF7030A0"/>
      <name val="Calibri"/>
      <family val="2"/>
      <scheme val="minor"/>
    </font>
    <font>
      <sz val="20"/>
      <color rgb="FFFF0000"/>
      <name val="Calibri"/>
      <family val="2"/>
      <scheme val="minor"/>
    </font>
    <font>
      <b/>
      <sz val="12"/>
      <color theme="0"/>
      <name val="Calibri"/>
      <family val="2"/>
      <scheme val="minor"/>
    </font>
    <font>
      <b/>
      <sz val="12"/>
      <color rgb="FFFF0000"/>
      <name val="Calibri"/>
      <family val="2"/>
      <scheme val="minor"/>
    </font>
    <font>
      <b/>
      <sz val="12"/>
      <color rgb="FF0432FF"/>
      <name val="Calibri"/>
      <family val="2"/>
      <scheme val="minor"/>
    </font>
    <font>
      <sz val="18"/>
      <color theme="1"/>
      <name val="Calibri"/>
      <family val="2"/>
      <scheme val="minor"/>
    </font>
    <font>
      <b/>
      <sz val="18"/>
      <color theme="1"/>
      <name val="Calibri"/>
      <family val="2"/>
      <scheme val="minor"/>
    </font>
    <font>
      <b/>
      <sz val="18"/>
      <color rgb="FFFF0000"/>
      <name val="Calibri"/>
      <family val="2"/>
      <scheme val="minor"/>
    </font>
    <font>
      <b/>
      <sz val="18"/>
      <color rgb="FF0432FF"/>
      <name val="Calibri"/>
      <family val="2"/>
      <scheme val="minor"/>
    </font>
    <font>
      <b/>
      <sz val="16"/>
      <color theme="1"/>
      <name val="Calibri"/>
      <family val="2"/>
      <scheme val="minor"/>
    </font>
    <font>
      <sz val="24"/>
      <color theme="1"/>
      <name val="Calibri"/>
      <family val="2"/>
      <scheme val="minor"/>
    </font>
    <font>
      <b/>
      <sz val="12"/>
      <color rgb="FFFFFF00"/>
      <name val="Calibri"/>
      <family val="2"/>
      <scheme val="minor"/>
    </font>
    <font>
      <b/>
      <sz val="24"/>
      <color rgb="FFFF0000"/>
      <name val="Calibri (Body)"/>
    </font>
    <font>
      <sz val="24"/>
      <color rgb="FFFF0000"/>
      <name val="Calibri"/>
      <family val="2"/>
      <scheme val="minor"/>
    </font>
    <font>
      <b/>
      <sz val="48"/>
      <color rgb="FFFF0000"/>
      <name val="Calibri"/>
      <family val="2"/>
      <scheme val="minor"/>
    </font>
    <font>
      <sz val="12"/>
      <color rgb="FF000000"/>
      <name val="Calibri"/>
      <family val="2"/>
    </font>
    <font>
      <sz val="11"/>
      <color theme="1"/>
      <name val="Calibri"/>
      <family val="2"/>
      <scheme val="minor"/>
    </font>
    <font>
      <b/>
      <sz val="14"/>
      <color theme="1"/>
      <name val="Calibri"/>
      <family val="2"/>
      <scheme val="minor"/>
    </font>
    <font>
      <b/>
      <sz val="14"/>
      <color rgb="FF0F1419"/>
      <name val="Helvetica"/>
      <family val="2"/>
    </font>
    <font>
      <b/>
      <sz val="18"/>
      <color rgb="FFFFFF00"/>
      <name val="Calibri"/>
      <family val="2"/>
      <scheme val="minor"/>
    </font>
    <font>
      <sz val="18"/>
      <color rgb="FFFF0000"/>
      <name val="Calibri"/>
      <family val="2"/>
      <scheme val="minor"/>
    </font>
    <font>
      <sz val="18"/>
      <color rgb="FFFFFF00"/>
      <name val="Calibri"/>
      <family val="2"/>
      <scheme val="minor"/>
    </font>
    <font>
      <sz val="14"/>
      <color rgb="FFFF0000"/>
      <name val="Calibri"/>
      <family val="2"/>
      <scheme val="minor"/>
    </font>
    <font>
      <i/>
      <sz val="16"/>
      <color rgb="FFFF0000"/>
      <name val="Calibri"/>
      <family val="2"/>
      <scheme val="minor"/>
    </font>
    <font>
      <i/>
      <sz val="16"/>
      <color rgb="FF0432FF"/>
      <name val="Calibri"/>
      <family val="2"/>
      <scheme val="minor"/>
    </font>
    <font>
      <sz val="13"/>
      <color rgb="FF000000"/>
      <name val="Lucida Grande"/>
    </font>
  </fonts>
  <fills count="1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0"/>
        <bgColor rgb="FFFFC000"/>
      </patternFill>
    </fill>
    <fill>
      <patternFill patternType="solid">
        <fgColor theme="0" tint="-0.3499862666707357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1" tint="0.34998626667073579"/>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rgb="FFFF0000"/>
      </left>
      <right style="double">
        <color rgb="FFFF0000"/>
      </right>
      <top style="double">
        <color rgb="FFFF0000"/>
      </top>
      <bottom style="double">
        <color rgb="FFFF0000"/>
      </bottom>
      <diagonal/>
    </border>
    <border>
      <left style="double">
        <color rgb="FFFF0000"/>
      </left>
      <right/>
      <top/>
      <bottom/>
      <diagonal/>
    </border>
    <border>
      <left/>
      <right style="double">
        <color rgb="FFFF0000"/>
      </right>
      <top/>
      <bottom/>
      <diagonal/>
    </border>
    <border>
      <left style="double">
        <color rgb="FFFF0000"/>
      </left>
      <right/>
      <top/>
      <bottom style="double">
        <color rgb="FFFF0000"/>
      </bottom>
      <diagonal/>
    </border>
    <border>
      <left style="medium">
        <color indexed="64"/>
      </left>
      <right/>
      <top/>
      <bottom style="double">
        <color rgb="FFFF0000"/>
      </bottom>
      <diagonal/>
    </border>
    <border>
      <left/>
      <right/>
      <top/>
      <bottom style="double">
        <color rgb="FFFF0000"/>
      </bottom>
      <diagonal/>
    </border>
    <border>
      <left style="double">
        <color rgb="FFFF0000"/>
      </left>
      <right style="double">
        <color rgb="FFFF0000"/>
      </right>
      <top style="double">
        <color rgb="FFFF0000"/>
      </top>
      <bottom/>
      <diagonal/>
    </border>
    <border>
      <left style="double">
        <color rgb="FFFF0000"/>
      </left>
      <right style="double">
        <color rgb="FFFF0000"/>
      </right>
      <top/>
      <bottom/>
      <diagonal/>
    </border>
    <border>
      <left style="double">
        <color rgb="FFFF0000"/>
      </left>
      <right style="double">
        <color rgb="FFFF0000"/>
      </right>
      <top/>
      <bottom style="double">
        <color rgb="FFFF0000"/>
      </bottom>
      <diagonal/>
    </border>
    <border>
      <left style="double">
        <color rgb="FFFF0000"/>
      </left>
      <right/>
      <top style="double">
        <color rgb="FFFF0000"/>
      </top>
      <bottom style="double">
        <color rgb="FFFF0000"/>
      </bottom>
      <diagonal/>
    </border>
    <border>
      <left/>
      <right style="double">
        <color rgb="FFFF0000"/>
      </right>
      <top style="double">
        <color rgb="FFFF0000"/>
      </top>
      <bottom style="double">
        <color rgb="FFFF0000"/>
      </bottom>
      <diagonal/>
    </border>
    <border>
      <left/>
      <right/>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29" fillId="0" borderId="0"/>
    <xf numFmtId="9" fontId="29" fillId="0" borderId="0" applyFont="0" applyFill="0" applyBorder="0" applyAlignment="0" applyProtection="0"/>
  </cellStyleXfs>
  <cellXfs count="280">
    <xf numFmtId="0" fontId="0" fillId="0" borderId="0" xfId="0"/>
    <xf numFmtId="0" fontId="2" fillId="2" borderId="0" xfId="0" applyFont="1" applyFill="1"/>
    <xf numFmtId="0" fontId="2" fillId="3" borderId="0" xfId="0" applyFont="1" applyFill="1"/>
    <xf numFmtId="3" fontId="3" fillId="4" borderId="1" xfId="0" applyNumberFormat="1" applyFont="1" applyFill="1" applyBorder="1" applyAlignment="1">
      <alignment horizontal="center"/>
    </xf>
    <xf numFmtId="3" fontId="4" fillId="5" borderId="1" xfId="0" applyNumberFormat="1" applyFont="1" applyFill="1" applyBorder="1" applyAlignment="1">
      <alignment horizontal="center"/>
    </xf>
    <xf numFmtId="0" fontId="5" fillId="3" borderId="0" xfId="0" applyFont="1" applyFill="1"/>
    <xf numFmtId="0" fontId="2" fillId="0" borderId="0" xfId="0" applyFont="1"/>
    <xf numFmtId="0" fontId="3" fillId="2" borderId="0" xfId="0" applyFont="1" applyFill="1"/>
    <xf numFmtId="0" fontId="5" fillId="6" borderId="0" xfId="0" applyFont="1" applyFill="1" applyAlignment="1">
      <alignment horizontal="center"/>
    </xf>
    <xf numFmtId="0" fontId="5" fillId="2" borderId="0" xfId="0" applyFont="1" applyFill="1"/>
    <xf numFmtId="0" fontId="2" fillId="6" borderId="0" xfId="0" applyFont="1" applyFill="1" applyAlignment="1">
      <alignment horizontal="center"/>
    </xf>
    <xf numFmtId="37" fontId="2" fillId="3" borderId="0" xfId="1" applyNumberFormat="1" applyFont="1" applyFill="1" applyAlignment="1">
      <alignment horizontal="center" vertical="center"/>
    </xf>
    <xf numFmtId="37" fontId="2" fillId="3" borderId="0" xfId="0" applyNumberFormat="1" applyFont="1" applyFill="1" applyAlignment="1">
      <alignment horizontal="center" vertical="center"/>
    </xf>
    <xf numFmtId="9" fontId="2" fillId="3" borderId="2" xfId="0" applyNumberFormat="1" applyFont="1" applyFill="1" applyBorder="1" applyAlignment="1">
      <alignment horizontal="center"/>
    </xf>
    <xf numFmtId="9" fontId="2" fillId="3" borderId="2" xfId="2" applyFont="1" applyFill="1" applyBorder="1" applyAlignment="1">
      <alignment horizontal="center"/>
    </xf>
    <xf numFmtId="3" fontId="3" fillId="3" borderId="0" xfId="0" applyNumberFormat="1" applyFont="1" applyFill="1" applyAlignment="1">
      <alignment horizontal="center"/>
    </xf>
    <xf numFmtId="0" fontId="2" fillId="3" borderId="7" xfId="0" applyFont="1" applyFill="1" applyBorder="1"/>
    <xf numFmtId="0" fontId="2" fillId="3" borderId="8" xfId="0" applyFont="1" applyFill="1" applyBorder="1"/>
    <xf numFmtId="9" fontId="2" fillId="8" borderId="2" xfId="2" applyFont="1" applyFill="1" applyBorder="1" applyAlignment="1">
      <alignment horizontal="center"/>
    </xf>
    <xf numFmtId="0" fontId="0" fillId="0" borderId="0" xfId="0" applyAlignment="1">
      <alignment horizontal="center"/>
    </xf>
    <xf numFmtId="1" fontId="0" fillId="0" borderId="9" xfId="0" applyNumberFormat="1" applyBorder="1" applyAlignment="1">
      <alignment horizontal="center"/>
    </xf>
    <xf numFmtId="1" fontId="0" fillId="0" borderId="10" xfId="0" applyNumberFormat="1" applyBorder="1" applyAlignment="1">
      <alignment horizontal="center"/>
    </xf>
    <xf numFmtId="1" fontId="0" fillId="0" borderId="11" xfId="0" applyNumberFormat="1" applyBorder="1" applyAlignment="1">
      <alignment horizontal="center"/>
    </xf>
    <xf numFmtId="0" fontId="2" fillId="0" borderId="4" xfId="0" applyFont="1" applyBorder="1" applyAlignment="1">
      <alignment horizontal="center"/>
    </xf>
    <xf numFmtId="1" fontId="2" fillId="0" borderId="11" xfId="0" applyNumberFormat="1" applyFont="1" applyBorder="1" applyAlignment="1">
      <alignment horizontal="center"/>
    </xf>
    <xf numFmtId="0" fontId="2" fillId="0" borderId="6" xfId="0" applyFont="1" applyBorder="1" applyAlignment="1">
      <alignment horizontal="center"/>
    </xf>
    <xf numFmtId="1" fontId="2" fillId="0" borderId="4" xfId="0" applyNumberFormat="1" applyFont="1" applyBorder="1" applyAlignment="1">
      <alignment horizontal="center"/>
    </xf>
    <xf numFmtId="0" fontId="5" fillId="7" borderId="3" xfId="0" applyFont="1" applyFill="1" applyBorder="1" applyAlignment="1">
      <alignment horizontal="center"/>
    </xf>
    <xf numFmtId="0" fontId="2" fillId="0" borderId="0" xfId="0" applyFont="1" applyAlignment="1">
      <alignment horizontal="center"/>
    </xf>
    <xf numFmtId="1" fontId="2" fillId="7" borderId="10" xfId="0" applyNumberFormat="1" applyFont="1" applyFill="1" applyBorder="1" applyAlignment="1">
      <alignment horizontal="center"/>
    </xf>
    <xf numFmtId="1" fontId="2" fillId="7" borderId="5" xfId="0" applyNumberFormat="1" applyFont="1" applyFill="1" applyBorder="1" applyAlignment="1">
      <alignment horizontal="center"/>
    </xf>
    <xf numFmtId="1" fontId="2" fillId="7" borderId="11" xfId="0" applyNumberFormat="1" applyFont="1" applyFill="1" applyBorder="1" applyAlignment="1">
      <alignment horizontal="center"/>
    </xf>
    <xf numFmtId="0" fontId="0" fillId="0" borderId="0" xfId="0" applyAlignment="1">
      <alignment horizontal="center" vertical="center"/>
    </xf>
    <xf numFmtId="9" fontId="0" fillId="0" borderId="0" xfId="2" applyFont="1" applyAlignment="1">
      <alignment horizontal="center"/>
    </xf>
    <xf numFmtId="0" fontId="9" fillId="0" borderId="0" xfId="0" applyFont="1" applyAlignment="1">
      <alignment horizontal="center" vertical="center"/>
    </xf>
    <xf numFmtId="0" fontId="9" fillId="0" borderId="0" xfId="0" applyFont="1" applyAlignment="1">
      <alignment horizontal="center"/>
    </xf>
    <xf numFmtId="0" fontId="9" fillId="0" borderId="0" xfId="0" applyFont="1"/>
    <xf numFmtId="165" fontId="7" fillId="0" borderId="0" xfId="0" applyNumberFormat="1" applyFont="1" applyAlignment="1">
      <alignment horizontal="center" vertical="center"/>
    </xf>
    <xf numFmtId="0" fontId="7" fillId="0" borderId="0" xfId="0" applyFont="1" applyAlignment="1">
      <alignment horizontal="center"/>
    </xf>
    <xf numFmtId="167" fontId="0" fillId="0" borderId="0" xfId="2" applyNumberFormat="1" applyFont="1" applyAlignment="1">
      <alignment horizontal="center" vertical="center"/>
    </xf>
    <xf numFmtId="167" fontId="0" fillId="0" borderId="0" xfId="2" applyNumberFormat="1" applyFont="1" applyAlignment="1">
      <alignment horizontal="center"/>
    </xf>
    <xf numFmtId="1" fontId="0" fillId="0" borderId="0" xfId="0" applyNumberFormat="1" applyAlignment="1">
      <alignment horizontal="center" vertical="center"/>
    </xf>
    <xf numFmtId="0" fontId="7" fillId="0" borderId="0" xfId="0" applyFont="1"/>
    <xf numFmtId="1" fontId="0" fillId="0" borderId="0" xfId="0" applyNumberFormat="1"/>
    <xf numFmtId="1" fontId="0" fillId="0" borderId="0" xfId="0" applyNumberFormat="1" applyAlignment="1">
      <alignment horizontal="center"/>
    </xf>
    <xf numFmtId="0" fontId="11" fillId="2" borderId="0" xfId="0" applyFont="1" applyFill="1"/>
    <xf numFmtId="0" fontId="11" fillId="2" borderId="0" xfId="0" applyFont="1" applyFill="1" applyAlignment="1">
      <alignment horizontal="center" vertical="center"/>
    </xf>
    <xf numFmtId="0" fontId="11" fillId="2" borderId="0" xfId="0" applyFont="1" applyFill="1" applyAlignment="1">
      <alignment horizontal="center"/>
    </xf>
    <xf numFmtId="1" fontId="11" fillId="2" borderId="0" xfId="0" applyNumberFormat="1" applyFont="1" applyFill="1" applyAlignment="1">
      <alignment horizontal="center"/>
    </xf>
    <xf numFmtId="0" fontId="0" fillId="0" borderId="0" xfId="0" applyAlignment="1">
      <alignment horizontal="right"/>
    </xf>
    <xf numFmtId="0" fontId="11" fillId="9" borderId="0" xfId="0" applyFont="1" applyFill="1" applyAlignment="1">
      <alignment horizontal="center" vertical="center"/>
    </xf>
    <xf numFmtId="0" fontId="0" fillId="9" borderId="0" xfId="0" applyFill="1" applyAlignment="1">
      <alignment horizontal="center" vertical="center"/>
    </xf>
    <xf numFmtId="167" fontId="0" fillId="9" borderId="0" xfId="2" applyNumberFormat="1" applyFont="1" applyFill="1" applyAlignment="1">
      <alignment horizontal="center" vertical="center"/>
    </xf>
    <xf numFmtId="1" fontId="0" fillId="9" borderId="0" xfId="0" applyNumberFormat="1" applyFill="1" applyAlignment="1">
      <alignment horizontal="center" vertical="center"/>
    </xf>
    <xf numFmtId="0" fontId="9" fillId="9" borderId="0" xfId="0" applyFont="1" applyFill="1" applyAlignment="1">
      <alignment horizontal="center" vertical="center"/>
    </xf>
    <xf numFmtId="0" fontId="9" fillId="9" borderId="0" xfId="0" applyFont="1" applyFill="1"/>
    <xf numFmtId="0" fontId="11" fillId="9" borderId="0" xfId="0" applyFont="1" applyFill="1"/>
    <xf numFmtId="0" fontId="0" fillId="9" borderId="0" xfId="0" applyFill="1" applyAlignment="1">
      <alignment horizontal="center"/>
    </xf>
    <xf numFmtId="0" fontId="0" fillId="9" borderId="0" xfId="0" applyFill="1"/>
    <xf numFmtId="0" fontId="9" fillId="9" borderId="0" xfId="0" applyFont="1" applyFill="1" applyAlignment="1">
      <alignment horizontal="center"/>
    </xf>
    <xf numFmtId="0" fontId="0" fillId="10" borderId="0" xfId="0" applyFill="1"/>
    <xf numFmtId="0" fontId="7" fillId="10" borderId="0" xfId="0" applyFont="1" applyFill="1" applyAlignment="1">
      <alignment horizontal="center" vertical="center"/>
    </xf>
    <xf numFmtId="0" fontId="0" fillId="10" borderId="0" xfId="0" applyFill="1" applyAlignment="1">
      <alignment horizontal="center" vertical="center"/>
    </xf>
    <xf numFmtId="0" fontId="7" fillId="10" borderId="0" xfId="0" applyFont="1" applyFill="1" applyAlignment="1">
      <alignment horizontal="left" vertical="center"/>
    </xf>
    <xf numFmtId="0" fontId="7" fillId="0" borderId="8" xfId="0" applyFont="1" applyBorder="1" applyAlignment="1">
      <alignment horizontal="center"/>
    </xf>
    <xf numFmtId="167" fontId="0" fillId="0" borderId="0" xfId="2" applyNumberFormat="1" applyFont="1" applyFill="1" applyAlignment="1">
      <alignment horizontal="center"/>
    </xf>
    <xf numFmtId="0" fontId="0" fillId="2" borderId="0" xfId="0" applyFill="1" applyAlignment="1">
      <alignment horizontal="center"/>
    </xf>
    <xf numFmtId="0" fontId="0" fillId="2" borderId="0" xfId="0" applyFill="1"/>
    <xf numFmtId="1" fontId="0" fillId="2" borderId="0" xfId="0" applyNumberFormat="1" applyFill="1" applyAlignment="1">
      <alignment horizontal="center"/>
    </xf>
    <xf numFmtId="0" fontId="0" fillId="0" borderId="0" xfId="0" quotePrefix="1" applyAlignment="1">
      <alignment horizontal="center"/>
    </xf>
    <xf numFmtId="0" fontId="0" fillId="10" borderId="0" xfId="0" applyFill="1" applyAlignment="1">
      <alignment horizontal="center"/>
    </xf>
    <xf numFmtId="14" fontId="10" fillId="0" borderId="0" xfId="0" applyNumberFormat="1" applyFont="1" applyAlignment="1">
      <alignment horizontal="center"/>
    </xf>
    <xf numFmtId="0" fontId="7" fillId="11" borderId="0" xfId="0" applyFont="1" applyFill="1"/>
    <xf numFmtId="0" fontId="0" fillId="11" borderId="0" xfId="0" applyFill="1"/>
    <xf numFmtId="0" fontId="2" fillId="0" borderId="2" xfId="0" applyFont="1" applyBorder="1" applyAlignment="1">
      <alignment horizontal="center"/>
    </xf>
    <xf numFmtId="0" fontId="13" fillId="0" borderId="2" xfId="0" applyFont="1" applyBorder="1" applyAlignment="1">
      <alignment horizontal="center"/>
    </xf>
    <xf numFmtId="0" fontId="12" fillId="0" borderId="2" xfId="0" applyFont="1" applyBorder="1" applyAlignment="1">
      <alignment horizontal="center"/>
    </xf>
    <xf numFmtId="0" fontId="14" fillId="3" borderId="2" xfId="0" applyFont="1" applyFill="1" applyBorder="1" applyAlignment="1">
      <alignment horizontal="center"/>
    </xf>
    <xf numFmtId="0" fontId="14" fillId="0" borderId="2" xfId="0" applyFont="1" applyBorder="1" applyAlignment="1">
      <alignment horizontal="center"/>
    </xf>
    <xf numFmtId="0" fontId="18" fillId="0" borderId="0" xfId="0" applyFont="1"/>
    <xf numFmtId="166" fontId="20" fillId="4" borderId="1" xfId="0" applyNumberFormat="1" applyFont="1" applyFill="1" applyBorder="1" applyAlignment="1">
      <alignment horizontal="center"/>
    </xf>
    <xf numFmtId="0" fontId="21" fillId="0" borderId="0" xfId="0" applyFont="1" applyAlignment="1">
      <alignment horizontal="center"/>
    </xf>
    <xf numFmtId="165" fontId="4" fillId="5" borderId="1" xfId="0" applyNumberFormat="1" applyFont="1" applyFill="1" applyBorder="1" applyAlignment="1">
      <alignment horizontal="center" vertical="center"/>
    </xf>
    <xf numFmtId="3" fontId="3" fillId="4" borderId="1" xfId="0" applyNumberFormat="1" applyFont="1" applyFill="1" applyBorder="1" applyAlignment="1">
      <alignment horizontal="center" vertical="center"/>
    </xf>
    <xf numFmtId="9" fontId="3" fillId="4" borderId="1" xfId="2" applyFont="1" applyFill="1" applyBorder="1" applyAlignment="1">
      <alignment horizontal="center" vertical="center"/>
    </xf>
    <xf numFmtId="166" fontId="3" fillId="4" borderId="1" xfId="0" applyNumberFormat="1" applyFont="1" applyFill="1" applyBorder="1" applyAlignment="1">
      <alignment horizontal="center" vertical="center"/>
    </xf>
    <xf numFmtId="1" fontId="4" fillId="5" borderId="1" xfId="0" applyNumberFormat="1" applyFont="1" applyFill="1" applyBorder="1" applyAlignment="1">
      <alignment horizontal="center" vertical="center"/>
    </xf>
    <xf numFmtId="166" fontId="2" fillId="3" borderId="0" xfId="0" applyNumberFormat="1" applyFont="1" applyFill="1" applyAlignment="1">
      <alignment horizontal="center" vertical="center"/>
    </xf>
    <xf numFmtId="0" fontId="5" fillId="2" borderId="0" xfId="0" applyFont="1" applyFill="1" applyAlignment="1">
      <alignment horizontal="center" vertical="center"/>
    </xf>
    <xf numFmtId="0" fontId="18" fillId="0" borderId="2" xfId="0" applyFont="1" applyBorder="1" applyAlignment="1">
      <alignment horizontal="center"/>
    </xf>
    <xf numFmtId="165" fontId="22" fillId="0" borderId="2" xfId="0" applyNumberFormat="1" applyFont="1" applyBorder="1" applyAlignment="1">
      <alignment horizontal="center" vertical="center"/>
    </xf>
    <xf numFmtId="0" fontId="23" fillId="2" borderId="0" xfId="0" applyFont="1" applyFill="1"/>
    <xf numFmtId="1" fontId="0" fillId="0" borderId="2" xfId="0" applyNumberFormat="1" applyBorder="1" applyAlignment="1">
      <alignment horizontal="center"/>
    </xf>
    <xf numFmtId="0" fontId="0" fillId="0" borderId="2" xfId="0" applyBorder="1" applyAlignment="1">
      <alignment horizontal="right"/>
    </xf>
    <xf numFmtId="0" fontId="18" fillId="3" borderId="0" xfId="0" applyFont="1" applyFill="1"/>
    <xf numFmtId="0" fontId="19" fillId="3" borderId="0" xfId="0" applyFont="1" applyFill="1" applyAlignment="1">
      <alignment horizontal="center"/>
    </xf>
    <xf numFmtId="0" fontId="20" fillId="3" borderId="0" xfId="0" applyFont="1" applyFill="1" applyAlignment="1">
      <alignment horizontal="center"/>
    </xf>
    <xf numFmtId="0" fontId="21" fillId="3" borderId="0" xfId="0" applyFont="1" applyFill="1" applyAlignment="1">
      <alignment horizontal="center"/>
    </xf>
    <xf numFmtId="0" fontId="18" fillId="3" borderId="0" xfId="0" applyFont="1" applyFill="1" applyAlignment="1">
      <alignment horizontal="center"/>
    </xf>
    <xf numFmtId="0" fontId="18" fillId="3" borderId="0" xfId="0" applyFont="1" applyFill="1" applyAlignment="1">
      <alignment horizontal="right" vertical="center"/>
    </xf>
    <xf numFmtId="0" fontId="18" fillId="3" borderId="0" xfId="0" quotePrefix="1" applyFont="1" applyFill="1"/>
    <xf numFmtId="0" fontId="19" fillId="3" borderId="0" xfId="0" applyFont="1" applyFill="1" applyAlignment="1">
      <alignment horizontal="center" vertical="center"/>
    </xf>
    <xf numFmtId="0" fontId="18" fillId="3" borderId="0" xfId="0" applyFont="1" applyFill="1" applyAlignment="1">
      <alignment horizontal="center" vertical="center"/>
    </xf>
    <xf numFmtId="0" fontId="0" fillId="3" borderId="0" xfId="0" applyFill="1"/>
    <xf numFmtId="0" fontId="0" fillId="3" borderId="0" xfId="0" applyFill="1" applyAlignment="1">
      <alignment horizontal="right" vertical="center"/>
    </xf>
    <xf numFmtId="0" fontId="0" fillId="3" borderId="0" xfId="0" applyFill="1" applyAlignment="1">
      <alignment horizontal="center"/>
    </xf>
    <xf numFmtId="165" fontId="7" fillId="3" borderId="0" xfId="0" applyNumberFormat="1" applyFont="1" applyFill="1" applyAlignment="1">
      <alignment horizontal="center" vertical="center"/>
    </xf>
    <xf numFmtId="0" fontId="17" fillId="3" borderId="0" xfId="0" applyFont="1" applyFill="1" applyAlignment="1">
      <alignment horizontal="center"/>
    </xf>
    <xf numFmtId="0" fontId="7" fillId="3" borderId="0" xfId="0" applyFont="1" applyFill="1" applyAlignment="1">
      <alignment horizontal="center" vertical="center"/>
    </xf>
    <xf numFmtId="166" fontId="16" fillId="4" borderId="1" xfId="0" applyNumberFormat="1" applyFont="1" applyFill="1" applyBorder="1" applyAlignment="1">
      <alignment horizontal="center"/>
    </xf>
    <xf numFmtId="0" fontId="0" fillId="3" borderId="0" xfId="0" quotePrefix="1" applyFill="1"/>
    <xf numFmtId="165" fontId="15" fillId="3" borderId="0" xfId="0" applyNumberFormat="1" applyFont="1" applyFill="1" applyAlignment="1">
      <alignment horizontal="center" vertical="center"/>
    </xf>
    <xf numFmtId="165" fontId="24" fillId="5" borderId="1" xfId="0" applyNumberFormat="1" applyFont="1" applyFill="1" applyBorder="1" applyAlignment="1">
      <alignment horizontal="center" vertical="center"/>
    </xf>
    <xf numFmtId="0" fontId="0" fillId="3" borderId="0" xfId="0" applyFill="1" applyAlignment="1">
      <alignment horizontal="center" vertical="center"/>
    </xf>
    <xf numFmtId="165" fontId="0" fillId="3" borderId="0" xfId="0" applyNumberFormat="1" applyFill="1" applyAlignment="1">
      <alignment horizontal="center" vertical="center"/>
    </xf>
    <xf numFmtId="0" fontId="7" fillId="3" borderId="0" xfId="0" applyFont="1" applyFill="1" applyAlignment="1">
      <alignment horizontal="center"/>
    </xf>
    <xf numFmtId="0" fontId="16" fillId="3" borderId="0" xfId="0" applyFont="1" applyFill="1" applyAlignment="1">
      <alignment horizontal="center"/>
    </xf>
    <xf numFmtId="0" fontId="25" fillId="2" borderId="0" xfId="0" applyFont="1" applyFill="1"/>
    <xf numFmtId="0" fontId="26" fillId="2" borderId="0" xfId="0" applyFont="1" applyFill="1"/>
    <xf numFmtId="0" fontId="27" fillId="2" borderId="0" xfId="0" applyFont="1" applyFill="1"/>
    <xf numFmtId="0" fontId="6" fillId="3" borderId="0" xfId="0" applyFont="1" applyFill="1" applyAlignment="1">
      <alignment horizontal="center" vertical="center"/>
    </xf>
    <xf numFmtId="165" fontId="6" fillId="3" borderId="0" xfId="0" applyNumberFormat="1" applyFont="1" applyFill="1" applyAlignment="1">
      <alignment horizontal="center" vertical="center"/>
    </xf>
    <xf numFmtId="0" fontId="6" fillId="0" borderId="0" xfId="3" applyFont="1"/>
    <xf numFmtId="0" fontId="6" fillId="0" borderId="0" xfId="3" applyFont="1" applyAlignment="1">
      <alignment horizontal="center"/>
    </xf>
    <xf numFmtId="0" fontId="6" fillId="0" borderId="0" xfId="3" quotePrefix="1" applyFont="1" applyAlignment="1">
      <alignment horizontal="center"/>
    </xf>
    <xf numFmtId="0" fontId="6" fillId="0" borderId="14" xfId="3" applyFont="1" applyBorder="1" applyAlignment="1">
      <alignment horizontal="center"/>
    </xf>
    <xf numFmtId="165" fontId="6" fillId="0" borderId="0" xfId="3" applyNumberFormat="1" applyFont="1" applyAlignment="1">
      <alignment horizontal="center"/>
    </xf>
    <xf numFmtId="0" fontId="30" fillId="0" borderId="0" xfId="3" applyFont="1" applyAlignment="1">
      <alignment horizontal="center" wrapText="1"/>
    </xf>
    <xf numFmtId="0" fontId="6" fillId="0" borderId="0" xfId="3" applyFont="1" applyAlignment="1">
      <alignment wrapText="1"/>
    </xf>
    <xf numFmtId="0" fontId="30" fillId="0" borderId="0" xfId="3" applyFont="1" applyAlignment="1">
      <alignment horizontal="center" vertical="center"/>
    </xf>
    <xf numFmtId="0" fontId="31" fillId="0" borderId="0" xfId="3" applyFont="1" applyAlignment="1">
      <alignment horizontal="center" vertical="center"/>
    </xf>
    <xf numFmtId="0" fontId="6" fillId="0" borderId="0" xfId="3" applyFont="1" applyAlignment="1">
      <alignment horizontal="center" vertical="center"/>
    </xf>
    <xf numFmtId="9" fontId="6" fillId="0" borderId="0" xfId="4" applyFont="1" applyAlignment="1">
      <alignment horizontal="center"/>
    </xf>
    <xf numFmtId="168" fontId="6" fillId="0" borderId="0" xfId="3" applyNumberFormat="1" applyFont="1"/>
    <xf numFmtId="9" fontId="6" fillId="0" borderId="0" xfId="4" applyFont="1" applyAlignment="1">
      <alignment wrapText="1"/>
    </xf>
    <xf numFmtId="168" fontId="6" fillId="0" borderId="0" xfId="3" applyNumberFormat="1" applyFont="1" applyAlignment="1">
      <alignment horizontal="center"/>
    </xf>
    <xf numFmtId="2" fontId="6" fillId="0" borderId="0" xfId="3" applyNumberFormat="1" applyFont="1" applyAlignment="1">
      <alignment horizontal="center"/>
    </xf>
    <xf numFmtId="9" fontId="6" fillId="0" borderId="0" xfId="4" applyFont="1"/>
    <xf numFmtId="0" fontId="2" fillId="2" borderId="0" xfId="0" applyFont="1" applyFill="1" applyAlignment="1">
      <alignment horizontal="left"/>
    </xf>
    <xf numFmtId="0" fontId="23" fillId="2" borderId="0" xfId="0" applyFont="1" applyFill="1" applyAlignment="1">
      <alignment horizontal="left"/>
    </xf>
    <xf numFmtId="0" fontId="18" fillId="0" borderId="0" xfId="3" applyFont="1" applyAlignment="1">
      <alignment horizontal="center" vertical="center"/>
    </xf>
    <xf numFmtId="0" fontId="19" fillId="0" borderId="0" xfId="3" applyFont="1" applyAlignment="1">
      <alignment horizontal="center" vertical="center"/>
    </xf>
    <xf numFmtId="0" fontId="19" fillId="0" borderId="0" xfId="3" applyFont="1" applyAlignment="1">
      <alignment horizontal="center"/>
    </xf>
    <xf numFmtId="0" fontId="19" fillId="0" borderId="0" xfId="3" applyFont="1" applyAlignment="1">
      <alignment horizontal="center" wrapText="1"/>
    </xf>
    <xf numFmtId="0" fontId="19" fillId="0" borderId="0" xfId="3" applyFont="1" applyAlignment="1">
      <alignment wrapText="1"/>
    </xf>
    <xf numFmtId="0" fontId="19" fillId="0" borderId="0" xfId="3" applyFont="1" applyAlignment="1">
      <alignment horizontal="centerContinuous" wrapText="1"/>
    </xf>
    <xf numFmtId="0" fontId="18" fillId="0" borderId="0" xfId="3" applyFont="1" applyAlignment="1">
      <alignment horizontal="center"/>
    </xf>
    <xf numFmtId="0" fontId="20" fillId="4" borderId="1" xfId="3" applyFont="1" applyFill="1" applyBorder="1" applyAlignment="1">
      <alignment horizontal="center"/>
    </xf>
    <xf numFmtId="0" fontId="18" fillId="0" borderId="0" xfId="3" applyFont="1"/>
    <xf numFmtId="165" fontId="20" fillId="0" borderId="0" xfId="3" applyNumberFormat="1" applyFont="1" applyAlignment="1">
      <alignment horizontal="center"/>
    </xf>
    <xf numFmtId="165" fontId="32" fillId="5" borderId="1" xfId="3" applyNumberFormat="1" applyFont="1" applyFill="1" applyBorder="1" applyAlignment="1">
      <alignment horizontal="center" vertical="center"/>
    </xf>
    <xf numFmtId="3" fontId="18" fillId="0" borderId="0" xfId="3" applyNumberFormat="1" applyFont="1" applyAlignment="1">
      <alignment horizontal="center"/>
    </xf>
    <xf numFmtId="1" fontId="18" fillId="0" borderId="0" xfId="3" applyNumberFormat="1" applyFont="1" applyAlignment="1">
      <alignment horizontal="center"/>
    </xf>
    <xf numFmtId="0" fontId="19" fillId="0" borderId="0" xfId="3" applyFont="1" applyAlignment="1">
      <alignment horizontal="center" vertical="top" wrapText="1"/>
    </xf>
    <xf numFmtId="165" fontId="18" fillId="0" borderId="0" xfId="3" applyNumberFormat="1" applyFont="1" applyAlignment="1">
      <alignment horizontal="center"/>
    </xf>
    <xf numFmtId="165" fontId="20" fillId="4" borderId="1" xfId="3" applyNumberFormat="1" applyFont="1" applyFill="1" applyBorder="1" applyAlignment="1">
      <alignment horizontal="center"/>
    </xf>
    <xf numFmtId="1" fontId="20" fillId="4" borderId="1" xfId="3" applyNumberFormat="1" applyFont="1" applyFill="1" applyBorder="1" applyAlignment="1">
      <alignment horizontal="center"/>
    </xf>
    <xf numFmtId="0" fontId="18" fillId="0" borderId="0" xfId="3" applyFont="1" applyAlignment="1">
      <alignment horizontal="right"/>
    </xf>
    <xf numFmtId="0" fontId="18" fillId="0" borderId="0" xfId="3" applyFont="1" applyAlignment="1">
      <alignment horizontal="center" wrapText="1"/>
    </xf>
    <xf numFmtId="0" fontId="18" fillId="0" borderId="0" xfId="3" applyFont="1" applyAlignment="1">
      <alignment wrapText="1"/>
    </xf>
    <xf numFmtId="0" fontId="18" fillId="0" borderId="0" xfId="3" applyFont="1" applyAlignment="1">
      <alignment horizontal="centerContinuous" wrapText="1"/>
    </xf>
    <xf numFmtId="165" fontId="34" fillId="0" borderId="0" xfId="3" applyNumberFormat="1" applyFont="1" applyAlignment="1">
      <alignment horizontal="center" vertical="center"/>
    </xf>
    <xf numFmtId="165" fontId="33" fillId="0" borderId="0" xfId="3" applyNumberFormat="1" applyFont="1" applyAlignment="1">
      <alignment horizontal="center"/>
    </xf>
    <xf numFmtId="1" fontId="33" fillId="0" borderId="0" xfId="3" applyNumberFormat="1" applyFont="1" applyAlignment="1">
      <alignment horizontal="center"/>
    </xf>
    <xf numFmtId="0" fontId="18" fillId="0" borderId="0" xfId="3" applyFont="1" applyAlignment="1">
      <alignment horizontal="right" vertical="center"/>
    </xf>
    <xf numFmtId="0" fontId="18" fillId="0" borderId="0" xfId="3" applyFont="1" applyAlignment="1">
      <alignment horizontal="left"/>
    </xf>
    <xf numFmtId="165" fontId="18" fillId="0" borderId="0" xfId="3" applyNumberFormat="1" applyFont="1" applyAlignment="1">
      <alignment horizontal="left"/>
    </xf>
    <xf numFmtId="0" fontId="19" fillId="2" borderId="0" xfId="3" applyFont="1" applyFill="1" applyAlignment="1">
      <alignment horizontal="center"/>
    </xf>
    <xf numFmtId="0" fontId="18" fillId="0" borderId="0" xfId="3" applyFont="1" applyAlignment="1">
      <alignment horizontal="right" wrapText="1"/>
    </xf>
    <xf numFmtId="165" fontId="33" fillId="0" borderId="2" xfId="3" applyNumberFormat="1" applyFont="1" applyBorder="1" applyAlignment="1">
      <alignment horizontal="center"/>
    </xf>
    <xf numFmtId="165" fontId="35" fillId="0" borderId="2" xfId="3" applyNumberFormat="1" applyFont="1" applyBorder="1" applyAlignment="1">
      <alignment horizontal="center" vertical="center"/>
    </xf>
    <xf numFmtId="1" fontId="35" fillId="0" borderId="2" xfId="3" applyNumberFormat="1" applyFont="1" applyBorder="1" applyAlignment="1">
      <alignment horizontal="center" vertical="center"/>
    </xf>
    <xf numFmtId="0" fontId="18" fillId="12" borderId="0" xfId="3" applyFont="1" applyFill="1" applyAlignment="1">
      <alignment horizontal="right"/>
    </xf>
    <xf numFmtId="165" fontId="18" fillId="12" borderId="0" xfId="3" applyNumberFormat="1" applyFont="1" applyFill="1" applyAlignment="1">
      <alignment horizontal="left"/>
    </xf>
    <xf numFmtId="1" fontId="18" fillId="12" borderId="0" xfId="3" applyNumberFormat="1" applyFont="1" applyFill="1" applyAlignment="1">
      <alignment horizontal="center"/>
    </xf>
    <xf numFmtId="0" fontId="18" fillId="13" borderId="0" xfId="3" applyFont="1" applyFill="1" applyAlignment="1">
      <alignment horizontal="right"/>
    </xf>
    <xf numFmtId="1" fontId="18" fillId="13" borderId="0" xfId="3" applyNumberFormat="1" applyFont="1" applyFill="1" applyAlignment="1">
      <alignment horizontal="center"/>
    </xf>
    <xf numFmtId="0" fontId="6" fillId="13" borderId="0" xfId="3" applyFont="1" applyFill="1"/>
    <xf numFmtId="165" fontId="18" fillId="13" borderId="0" xfId="3" applyNumberFormat="1" applyFont="1" applyFill="1" applyAlignment="1">
      <alignment horizontal="left"/>
    </xf>
    <xf numFmtId="170" fontId="18" fillId="13" borderId="0" xfId="3" applyNumberFormat="1" applyFont="1" applyFill="1" applyAlignment="1">
      <alignment horizontal="center"/>
    </xf>
    <xf numFmtId="169" fontId="18" fillId="13" borderId="15" xfId="3" applyNumberFormat="1" applyFont="1" applyFill="1" applyBorder="1" applyAlignment="1">
      <alignment horizontal="center"/>
    </xf>
    <xf numFmtId="0" fontId="19" fillId="12" borderId="0" xfId="3" applyFont="1" applyFill="1" applyAlignment="1">
      <alignment horizontal="right"/>
    </xf>
    <xf numFmtId="170" fontId="19" fillId="12" borderId="0" xfId="3" applyNumberFormat="1" applyFont="1" applyFill="1" applyAlignment="1">
      <alignment horizontal="center"/>
    </xf>
    <xf numFmtId="165" fontId="19" fillId="12" borderId="0" xfId="3" applyNumberFormat="1" applyFont="1" applyFill="1" applyAlignment="1">
      <alignment horizontal="left"/>
    </xf>
    <xf numFmtId="1" fontId="19" fillId="12" borderId="0" xfId="3" applyNumberFormat="1" applyFont="1" applyFill="1" applyAlignment="1">
      <alignment horizontal="center"/>
    </xf>
    <xf numFmtId="0" fontId="19" fillId="13" borderId="0" xfId="3" applyFont="1" applyFill="1" applyAlignment="1">
      <alignment horizontal="right"/>
    </xf>
    <xf numFmtId="170" fontId="19" fillId="13" borderId="0" xfId="3" applyNumberFormat="1" applyFont="1" applyFill="1" applyAlignment="1">
      <alignment horizontal="center"/>
    </xf>
    <xf numFmtId="1" fontId="19" fillId="13" borderId="0" xfId="3" applyNumberFormat="1" applyFont="1" applyFill="1" applyAlignment="1">
      <alignment horizontal="center"/>
    </xf>
    <xf numFmtId="165" fontId="19" fillId="13" borderId="0" xfId="3" applyNumberFormat="1" applyFont="1" applyFill="1" applyAlignment="1">
      <alignment horizontal="left"/>
    </xf>
    <xf numFmtId="0" fontId="18" fillId="11" borderId="0" xfId="3" applyFont="1" applyFill="1" applyAlignment="1">
      <alignment horizontal="right"/>
    </xf>
    <xf numFmtId="165" fontId="18" fillId="11" borderId="0" xfId="3" applyNumberFormat="1" applyFont="1" applyFill="1" applyAlignment="1">
      <alignment horizontal="left"/>
    </xf>
    <xf numFmtId="1" fontId="18" fillId="11" borderId="0" xfId="3" applyNumberFormat="1" applyFont="1" applyFill="1" applyAlignment="1">
      <alignment horizontal="center"/>
    </xf>
    <xf numFmtId="2" fontId="18" fillId="11" borderId="0" xfId="3" applyNumberFormat="1" applyFont="1" applyFill="1" applyAlignment="1">
      <alignment horizontal="center"/>
    </xf>
    <xf numFmtId="2" fontId="18" fillId="13" borderId="0" xfId="3" applyNumberFormat="1" applyFont="1" applyFill="1" applyAlignment="1">
      <alignment horizontal="center"/>
    </xf>
    <xf numFmtId="0" fontId="20" fillId="4" borderId="0" xfId="3" applyFont="1" applyFill="1" applyAlignment="1">
      <alignment horizontal="right"/>
    </xf>
    <xf numFmtId="2" fontId="20" fillId="4" borderId="0" xfId="3" applyNumberFormat="1" applyFont="1" applyFill="1" applyAlignment="1">
      <alignment horizontal="center"/>
    </xf>
    <xf numFmtId="165" fontId="20" fillId="4" borderId="0" xfId="3" applyNumberFormat="1" applyFont="1" applyFill="1" applyAlignment="1">
      <alignment horizontal="left"/>
    </xf>
    <xf numFmtId="1" fontId="18" fillId="4" borderId="0" xfId="3" applyNumberFormat="1" applyFont="1" applyFill="1" applyAlignment="1">
      <alignment horizontal="center"/>
    </xf>
    <xf numFmtId="9" fontId="20" fillId="4" borderId="0" xfId="2" applyFont="1" applyFill="1" applyAlignment="1">
      <alignment horizontal="center"/>
    </xf>
    <xf numFmtId="0" fontId="23" fillId="0" borderId="0" xfId="0" applyFont="1"/>
    <xf numFmtId="0" fontId="23" fillId="0" borderId="0" xfId="0" applyFont="1" applyAlignment="1">
      <alignment horizontal="left"/>
    </xf>
    <xf numFmtId="3" fontId="32" fillId="5" borderId="1" xfId="3" applyNumberFormat="1" applyFont="1" applyFill="1" applyBorder="1" applyAlignment="1">
      <alignment horizontal="center" vertical="center"/>
    </xf>
    <xf numFmtId="3" fontId="18" fillId="13" borderId="0" xfId="3" applyNumberFormat="1" applyFont="1" applyFill="1" applyAlignment="1">
      <alignment horizontal="center"/>
    </xf>
    <xf numFmtId="2" fontId="6" fillId="0" borderId="0" xfId="3" applyNumberFormat="1" applyFont="1"/>
    <xf numFmtId="2" fontId="35" fillId="0" borderId="2" xfId="3" applyNumberFormat="1" applyFont="1" applyBorder="1" applyAlignment="1">
      <alignment horizontal="center" vertical="center"/>
    </xf>
    <xf numFmtId="0" fontId="18" fillId="0" borderId="16" xfId="3" applyFont="1" applyBorder="1" applyAlignment="1">
      <alignment horizontal="right" vertical="center"/>
    </xf>
    <xf numFmtId="0" fontId="18" fillId="0" borderId="17" xfId="3" applyFont="1" applyBorder="1" applyAlignment="1">
      <alignment horizontal="center" vertical="center"/>
    </xf>
    <xf numFmtId="0" fontId="18" fillId="0" borderId="17" xfId="3" applyFont="1" applyBorder="1" applyAlignment="1">
      <alignment horizontal="left" vertical="center"/>
    </xf>
    <xf numFmtId="0" fontId="19" fillId="14" borderId="2" xfId="3" applyFont="1" applyFill="1" applyBorder="1" applyAlignment="1">
      <alignment horizontal="center" vertical="center"/>
    </xf>
    <xf numFmtId="1" fontId="18" fillId="0" borderId="2" xfId="3" applyNumberFormat="1" applyFont="1" applyBorder="1" applyAlignment="1">
      <alignment horizontal="center" vertical="center"/>
    </xf>
    <xf numFmtId="0" fontId="26" fillId="3" borderId="0" xfId="0" applyFont="1" applyFill="1"/>
    <xf numFmtId="0" fontId="23" fillId="3" borderId="0" xfId="0" applyFont="1" applyFill="1"/>
    <xf numFmtId="0" fontId="22" fillId="3" borderId="0" xfId="0" applyFont="1" applyFill="1" applyAlignment="1">
      <alignment vertical="top" wrapText="1"/>
    </xf>
    <xf numFmtId="0" fontId="11" fillId="3" borderId="0" xfId="0" applyFont="1" applyFill="1" applyAlignment="1">
      <alignment wrapText="1"/>
    </xf>
    <xf numFmtId="0" fontId="11" fillId="3" borderId="0" xfId="0" applyFont="1" applyFill="1" applyAlignment="1">
      <alignment vertical="top" wrapText="1"/>
    </xf>
    <xf numFmtId="0" fontId="36" fillId="3" borderId="0" xfId="0" applyFont="1" applyFill="1" applyAlignment="1">
      <alignment wrapText="1"/>
    </xf>
    <xf numFmtId="0" fontId="22" fillId="3" borderId="0" xfId="0" applyFont="1" applyFill="1" applyAlignment="1">
      <alignment wrapText="1"/>
    </xf>
    <xf numFmtId="0" fontId="37" fillId="3" borderId="0" xfId="0" applyFont="1" applyFill="1" applyAlignment="1">
      <alignment wrapText="1"/>
    </xf>
    <xf numFmtId="0" fontId="11" fillId="3" borderId="0" xfId="0" applyFont="1" applyFill="1" applyAlignment="1">
      <alignment horizontal="right" wrapText="1"/>
    </xf>
    <xf numFmtId="0" fontId="22" fillId="15" borderId="0" xfId="0" applyFont="1" applyFill="1" applyAlignment="1">
      <alignment vertical="top" wrapText="1"/>
    </xf>
    <xf numFmtId="0" fontId="11" fillId="15" borderId="0" xfId="0" applyFont="1" applyFill="1" applyAlignment="1">
      <alignment wrapText="1"/>
    </xf>
    <xf numFmtId="0" fontId="11" fillId="15" borderId="0" xfId="0" applyFont="1" applyFill="1" applyAlignment="1">
      <alignment vertical="top" wrapText="1"/>
    </xf>
    <xf numFmtId="0" fontId="36" fillId="15" borderId="0" xfId="0" applyFont="1" applyFill="1" applyAlignment="1">
      <alignment wrapText="1"/>
    </xf>
    <xf numFmtId="0" fontId="27" fillId="14" borderId="0" xfId="0" applyFont="1" applyFill="1"/>
    <xf numFmtId="0" fontId="26" fillId="14" borderId="0" xfId="0" applyFont="1" applyFill="1"/>
    <xf numFmtId="0" fontId="23" fillId="14" borderId="0" xfId="0" applyFont="1" applyFill="1"/>
    <xf numFmtId="0" fontId="2" fillId="2" borderId="0" xfId="0" applyFont="1" applyFill="1" applyAlignment="1">
      <alignment horizontal="center"/>
    </xf>
    <xf numFmtId="0" fontId="23" fillId="2" borderId="0" xfId="0" applyFont="1" applyFill="1" applyAlignment="1">
      <alignment horizontal="center"/>
    </xf>
    <xf numFmtId="0" fontId="23" fillId="0" borderId="0" xfId="3" applyFont="1"/>
    <xf numFmtId="1" fontId="32" fillId="5" borderId="1" xfId="3" applyNumberFormat="1" applyFont="1" applyFill="1" applyBorder="1" applyAlignment="1">
      <alignment horizontal="center" vertical="center"/>
    </xf>
    <xf numFmtId="0" fontId="18" fillId="0" borderId="0" xfId="3" applyFont="1" applyAlignment="1">
      <alignment horizontal="left" vertical="center"/>
    </xf>
    <xf numFmtId="0" fontId="20" fillId="4" borderId="1" xfId="3" applyFont="1" applyFill="1" applyBorder="1" applyAlignment="1">
      <alignment horizontal="center" vertical="center"/>
    </xf>
    <xf numFmtId="0" fontId="20" fillId="0" borderId="0" xfId="3" applyFont="1" applyAlignment="1">
      <alignment horizontal="center" vertical="center"/>
    </xf>
    <xf numFmtId="1" fontId="18" fillId="0" borderId="0" xfId="3" applyNumberFormat="1" applyFont="1" applyAlignment="1">
      <alignment horizontal="center" vertical="center"/>
    </xf>
    <xf numFmtId="0" fontId="19" fillId="14" borderId="0" xfId="3" applyFont="1" applyFill="1" applyAlignment="1">
      <alignment horizontal="center" vertical="center"/>
    </xf>
    <xf numFmtId="3" fontId="6" fillId="0" borderId="0" xfId="3" applyNumberFormat="1" applyFont="1" applyAlignment="1">
      <alignment horizontal="center"/>
    </xf>
    <xf numFmtId="165" fontId="32" fillId="0" borderId="0" xfId="3" applyNumberFormat="1" applyFont="1" applyAlignment="1">
      <alignment horizontal="center" vertical="center"/>
    </xf>
    <xf numFmtId="1" fontId="20" fillId="0" borderId="0" xfId="3" applyNumberFormat="1" applyFont="1" applyAlignment="1">
      <alignment horizontal="center"/>
    </xf>
    <xf numFmtId="0" fontId="6" fillId="0" borderId="0" xfId="3" applyFont="1" applyAlignment="1">
      <alignment horizontal="center" wrapText="1"/>
    </xf>
    <xf numFmtId="0" fontId="2" fillId="6" borderId="0" xfId="0" applyFont="1" applyFill="1" applyAlignment="1">
      <alignment horizontal="center" vertical="center"/>
    </xf>
    <xf numFmtId="166" fontId="32" fillId="5" borderId="1" xfId="3" applyNumberFormat="1" applyFont="1" applyFill="1" applyBorder="1" applyAlignment="1">
      <alignment horizontal="center" vertical="center"/>
    </xf>
    <xf numFmtId="0" fontId="19" fillId="2" borderId="20" xfId="3" applyFont="1" applyFill="1" applyBorder="1" applyAlignment="1">
      <alignment horizontal="center" vertical="center"/>
    </xf>
    <xf numFmtId="0" fontId="30" fillId="2" borderId="21" xfId="3" applyFont="1" applyFill="1" applyBorder="1" applyAlignment="1">
      <alignment horizontal="center"/>
    </xf>
    <xf numFmtId="0" fontId="19" fillId="2" borderId="21" xfId="3" applyFont="1" applyFill="1" applyBorder="1" applyAlignment="1">
      <alignment horizontal="center" vertical="center"/>
    </xf>
    <xf numFmtId="0" fontId="6" fillId="2" borderId="22" xfId="3" applyFont="1" applyFill="1" applyBorder="1" applyAlignment="1">
      <alignment horizontal="center"/>
    </xf>
    <xf numFmtId="0" fontId="6" fillId="2" borderId="20" xfId="3" applyFont="1" applyFill="1" applyBorder="1" applyAlignment="1">
      <alignment horizontal="center"/>
    </xf>
    <xf numFmtId="0" fontId="19" fillId="0" borderId="0" xfId="3" applyFont="1" applyAlignment="1">
      <alignment horizontal="right"/>
    </xf>
    <xf numFmtId="0" fontId="23" fillId="0" borderId="0" xfId="0" applyFont="1" applyAlignment="1">
      <alignment vertical="center"/>
    </xf>
    <xf numFmtId="0" fontId="19" fillId="0" borderId="0" xfId="3" applyFont="1" applyAlignment="1">
      <alignment horizontal="right" vertical="center"/>
    </xf>
    <xf numFmtId="0" fontId="6" fillId="0" borderId="0" xfId="3" applyFont="1" applyAlignment="1">
      <alignment vertical="center"/>
    </xf>
    <xf numFmtId="3" fontId="18" fillId="0" borderId="0" xfId="3" applyNumberFormat="1" applyFont="1" applyAlignment="1">
      <alignment horizontal="center" vertical="center"/>
    </xf>
    <xf numFmtId="0" fontId="19" fillId="0" borderId="0" xfId="3" applyFont="1" applyAlignment="1">
      <alignment horizontal="left" vertical="center"/>
    </xf>
    <xf numFmtId="165" fontId="18" fillId="0" borderId="20" xfId="3" applyNumberFormat="1" applyFont="1" applyBorder="1" applyAlignment="1">
      <alignment horizontal="center" vertical="center"/>
    </xf>
    <xf numFmtId="165" fontId="18" fillId="0" borderId="21" xfId="3" applyNumberFormat="1" applyFont="1" applyBorder="1" applyAlignment="1">
      <alignment horizontal="center" vertical="center"/>
    </xf>
    <xf numFmtId="165" fontId="18" fillId="0" borderId="22" xfId="3" applyNumberFormat="1" applyFont="1" applyBorder="1" applyAlignment="1">
      <alignment horizontal="center" vertical="center"/>
    </xf>
    <xf numFmtId="165" fontId="18" fillId="0" borderId="16" xfId="3" applyNumberFormat="1" applyFont="1" applyBorder="1" applyAlignment="1">
      <alignment horizontal="center" vertical="center"/>
    </xf>
    <xf numFmtId="165" fontId="18" fillId="0" borderId="0" xfId="3" applyNumberFormat="1" applyFont="1" applyAlignment="1">
      <alignment horizontal="center" vertical="center"/>
    </xf>
    <xf numFmtId="165" fontId="18" fillId="0" borderId="17" xfId="3" applyNumberFormat="1" applyFont="1" applyBorder="1" applyAlignment="1">
      <alignment horizontal="center" vertical="center"/>
    </xf>
    <xf numFmtId="165" fontId="18" fillId="0" borderId="18" xfId="3" applyNumberFormat="1" applyFont="1" applyBorder="1" applyAlignment="1">
      <alignment horizontal="center" vertical="center"/>
    </xf>
    <xf numFmtId="165" fontId="18" fillId="0" borderId="15" xfId="3" applyNumberFormat="1" applyFont="1" applyBorder="1" applyAlignment="1">
      <alignment horizontal="center" vertical="center"/>
    </xf>
    <xf numFmtId="165" fontId="18" fillId="0" borderId="19" xfId="3" applyNumberFormat="1" applyFont="1" applyBorder="1" applyAlignment="1">
      <alignment horizontal="center" vertical="center"/>
    </xf>
    <xf numFmtId="9" fontId="32" fillId="16" borderId="1" xfId="2" applyFont="1" applyFill="1" applyBorder="1" applyAlignment="1">
      <alignment horizontal="center" vertical="center"/>
    </xf>
    <xf numFmtId="0" fontId="18" fillId="7" borderId="0" xfId="0" applyFont="1" applyFill="1" applyAlignment="1">
      <alignment horizontal="right" vertical="center"/>
    </xf>
    <xf numFmtId="1" fontId="19" fillId="0" borderId="20" xfId="3" applyNumberFormat="1" applyFont="1" applyBorder="1" applyAlignment="1">
      <alignment horizontal="center"/>
    </xf>
    <xf numFmtId="1" fontId="19" fillId="0" borderId="16" xfId="3" applyNumberFormat="1" applyFont="1" applyBorder="1" applyAlignment="1">
      <alignment horizontal="center"/>
    </xf>
    <xf numFmtId="1" fontId="19" fillId="0" borderId="18" xfId="3" applyNumberFormat="1" applyFont="1" applyBorder="1" applyAlignment="1">
      <alignment horizontal="center"/>
    </xf>
    <xf numFmtId="3" fontId="18" fillId="11" borderId="0" xfId="3" applyNumberFormat="1" applyFont="1" applyFill="1" applyAlignment="1">
      <alignment horizontal="center"/>
    </xf>
    <xf numFmtId="0" fontId="11" fillId="15" borderId="0" xfId="3" applyFont="1" applyFill="1" applyAlignment="1">
      <alignment horizontal="right"/>
    </xf>
    <xf numFmtId="0" fontId="11" fillId="15" borderId="0" xfId="3" applyFont="1" applyFill="1"/>
    <xf numFmtId="0" fontId="11" fillId="15" borderId="0" xfId="3" applyFont="1" applyFill="1" applyAlignment="1">
      <alignment wrapText="1"/>
    </xf>
    <xf numFmtId="0" fontId="11" fillId="15" borderId="0" xfId="3" applyFont="1" applyFill="1" applyAlignment="1">
      <alignment horizontal="right" vertical="center"/>
    </xf>
    <xf numFmtId="0" fontId="18" fillId="15" borderId="0" xfId="0" applyFont="1" applyFill="1" applyAlignment="1">
      <alignment horizontal="right" vertical="center"/>
    </xf>
    <xf numFmtId="0" fontId="11" fillId="15" borderId="0" xfId="0" applyFont="1" applyFill="1" applyAlignment="1">
      <alignment horizontal="right" vertical="center"/>
    </xf>
    <xf numFmtId="0" fontId="11" fillId="15" borderId="0" xfId="0" applyFont="1" applyFill="1" applyAlignment="1">
      <alignment horizontal="right" vertical="center" wrapText="1"/>
    </xf>
    <xf numFmtId="0" fontId="11" fillId="7" borderId="0" xfId="0" applyFont="1" applyFill="1" applyAlignment="1">
      <alignment horizontal="right" vertical="center"/>
    </xf>
    <xf numFmtId="0" fontId="22" fillId="2" borderId="0" xfId="0" applyFont="1" applyFill="1"/>
    <xf numFmtId="0" fontId="5" fillId="2" borderId="0" xfId="0" applyFont="1" applyFill="1" applyAlignment="1">
      <alignment horizontal="center"/>
    </xf>
    <xf numFmtId="0" fontId="2" fillId="3" borderId="0" xfId="0" applyFont="1" applyFill="1" applyAlignment="1">
      <alignment horizontal="right"/>
    </xf>
    <xf numFmtId="0" fontId="2" fillId="0" borderId="12" xfId="0" applyFont="1" applyBorder="1" applyAlignment="1">
      <alignment horizontal="center"/>
    </xf>
    <xf numFmtId="0" fontId="2" fillId="0" borderId="13" xfId="0" applyFont="1" applyBorder="1" applyAlignment="1">
      <alignment horizontal="center"/>
    </xf>
  </cellXfs>
  <cellStyles count="5">
    <cellStyle name="Komma" xfId="1" builtinId="3"/>
    <cellStyle name="Normal 2" xfId="3" xr:uid="{2134EDAB-3737-4544-BCFF-807A1BEA9665}"/>
    <cellStyle name="Per cent 2" xfId="4" xr:uid="{D065A694-293F-BD4D-88D1-D2AB10027CB8}"/>
    <cellStyle name="Prozent" xfId="2" builtinId="5"/>
    <cellStyle name="Standard"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568149979579383E-2"/>
          <c:y val="6.3390653754487589E-2"/>
          <c:w val="0.90151279472664891"/>
          <c:h val="0.75470660994961836"/>
        </c:manualLayout>
      </c:layout>
      <c:scatterChart>
        <c:scatterStyle val="lineMarker"/>
        <c:varyColors val="0"/>
        <c:ser>
          <c:idx val="0"/>
          <c:order val="0"/>
          <c:tx>
            <c:strRef>
              <c:f>'1. HOUSEHOLD TEMPERATURE'!$D$6</c:f>
              <c:strCache>
                <c:ptCount val="1"/>
                <c:pt idx="0">
                  <c:v>Temperature (°C)</c:v>
                </c:pt>
              </c:strCache>
            </c:strRef>
          </c:tx>
          <c:spPr>
            <a:ln w="38100" cap="rnd">
              <a:solidFill>
                <a:srgbClr val="FF0000"/>
              </a:solidFill>
              <a:round/>
            </a:ln>
            <a:effectLst/>
          </c:spPr>
          <c:marker>
            <c:symbol val="none"/>
          </c:marker>
          <c:xVal>
            <c:numRef>
              <c:f>'1. HOUSEHOLD TEMPERATURE'!$E$5:$AC$5</c:f>
              <c:numCache>
                <c:formatCode>General</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xVal>
          <c:yVal>
            <c:numRef>
              <c:f>'1. HOUSEHOLD TEMPERATURE'!$E$6:$AC$6</c:f>
              <c:numCache>
                <c:formatCode>0.0</c:formatCode>
                <c:ptCount val="25"/>
                <c:pt idx="0">
                  <c:v>16</c:v>
                </c:pt>
                <c:pt idx="1">
                  <c:v>16</c:v>
                </c:pt>
                <c:pt idx="2">
                  <c:v>16</c:v>
                </c:pt>
                <c:pt idx="3">
                  <c:v>16</c:v>
                </c:pt>
                <c:pt idx="4">
                  <c:v>16</c:v>
                </c:pt>
                <c:pt idx="5">
                  <c:v>16</c:v>
                </c:pt>
                <c:pt idx="6">
                  <c:v>23</c:v>
                </c:pt>
                <c:pt idx="7">
                  <c:v>23</c:v>
                </c:pt>
                <c:pt idx="8">
                  <c:v>23</c:v>
                </c:pt>
                <c:pt idx="9">
                  <c:v>23</c:v>
                </c:pt>
                <c:pt idx="10">
                  <c:v>18</c:v>
                </c:pt>
                <c:pt idx="11">
                  <c:v>18</c:v>
                </c:pt>
                <c:pt idx="12">
                  <c:v>18</c:v>
                </c:pt>
                <c:pt idx="13">
                  <c:v>18</c:v>
                </c:pt>
                <c:pt idx="14">
                  <c:v>18</c:v>
                </c:pt>
                <c:pt idx="15">
                  <c:v>18</c:v>
                </c:pt>
                <c:pt idx="16">
                  <c:v>18</c:v>
                </c:pt>
                <c:pt idx="17">
                  <c:v>23</c:v>
                </c:pt>
                <c:pt idx="18">
                  <c:v>23</c:v>
                </c:pt>
                <c:pt idx="19">
                  <c:v>23</c:v>
                </c:pt>
                <c:pt idx="20">
                  <c:v>23</c:v>
                </c:pt>
                <c:pt idx="21">
                  <c:v>23</c:v>
                </c:pt>
                <c:pt idx="22">
                  <c:v>23</c:v>
                </c:pt>
                <c:pt idx="23">
                  <c:v>23</c:v>
                </c:pt>
                <c:pt idx="24">
                  <c:v>23</c:v>
                </c:pt>
              </c:numCache>
            </c:numRef>
          </c:yVal>
          <c:smooth val="0"/>
          <c:extLst>
            <c:ext xmlns:c16="http://schemas.microsoft.com/office/drawing/2014/chart" uri="{C3380CC4-5D6E-409C-BE32-E72D297353CC}">
              <c16:uniqueId val="{00000000-6878-C046-AC03-FE4D5ED6289D}"/>
            </c:ext>
          </c:extLst>
        </c:ser>
        <c:ser>
          <c:idx val="1"/>
          <c:order val="1"/>
          <c:tx>
            <c:strRef>
              <c:f>'1. HOUSEHOLD TEMPERATURE'!$AE$5</c:f>
              <c:strCache>
                <c:ptCount val="1"/>
                <c:pt idx="0">
                  <c:v>Average Temperature (°C)</c:v>
                </c:pt>
              </c:strCache>
            </c:strRef>
          </c:tx>
          <c:spPr>
            <a:ln w="38100" cap="rnd">
              <a:solidFill>
                <a:srgbClr val="0432FF"/>
              </a:solidFill>
              <a:prstDash val="dash"/>
              <a:round/>
            </a:ln>
            <a:effectLst/>
          </c:spPr>
          <c:marker>
            <c:symbol val="none"/>
          </c:marker>
          <c:xVal>
            <c:numRef>
              <c:f>'1. HOUSEHOLD TEMPERATURE'!$Z$10:$Z$11</c:f>
              <c:numCache>
                <c:formatCode>General</c:formatCode>
                <c:ptCount val="2"/>
                <c:pt idx="0">
                  <c:v>0</c:v>
                </c:pt>
                <c:pt idx="1">
                  <c:v>24</c:v>
                </c:pt>
              </c:numCache>
            </c:numRef>
          </c:xVal>
          <c:yVal>
            <c:numRef>
              <c:f>'1. HOUSEHOLD TEMPERATURE'!$AA$10:$AA$11</c:f>
              <c:numCache>
                <c:formatCode>0.0</c:formatCode>
                <c:ptCount val="2"/>
                <c:pt idx="0">
                  <c:v>19.791666666666668</c:v>
                </c:pt>
                <c:pt idx="1">
                  <c:v>19.791666666666668</c:v>
                </c:pt>
              </c:numCache>
            </c:numRef>
          </c:yVal>
          <c:smooth val="0"/>
          <c:extLst>
            <c:ext xmlns:c16="http://schemas.microsoft.com/office/drawing/2014/chart" uri="{C3380CC4-5D6E-409C-BE32-E72D297353CC}">
              <c16:uniqueId val="{00000001-6878-C046-AC03-FE4D5ED6289D}"/>
            </c:ext>
          </c:extLst>
        </c:ser>
        <c:dLbls>
          <c:showLegendKey val="0"/>
          <c:showVal val="0"/>
          <c:showCatName val="0"/>
          <c:showSerName val="0"/>
          <c:showPercent val="0"/>
          <c:showBubbleSize val="0"/>
        </c:dLbls>
        <c:axId val="34463903"/>
        <c:axId val="34805343"/>
      </c:scatterChart>
      <c:valAx>
        <c:axId val="34463903"/>
        <c:scaling>
          <c:orientation val="minMax"/>
          <c:max val="24"/>
          <c:min val="0"/>
        </c:scaling>
        <c:delete val="0"/>
        <c:axPos val="b"/>
        <c:majorGridlines>
          <c:spPr>
            <a:ln w="12700" cap="flat" cmpd="sng" algn="ctr">
              <a:solidFill>
                <a:schemeClr val="bg1">
                  <a:lumMod val="50000"/>
                </a:schemeClr>
              </a:solidFill>
              <a:round/>
            </a:ln>
            <a:effectLst/>
          </c:spPr>
        </c:majorGridlines>
        <c:minorGridlines>
          <c:spPr>
            <a:ln w="12700" cap="flat" cmpd="sng" algn="ctr">
              <a:solidFill>
                <a:schemeClr val="bg1">
                  <a:lumMod val="75000"/>
                </a:schemeClr>
              </a:solidFill>
              <a:round/>
            </a:ln>
            <a:effectLst/>
          </c:spPr>
        </c:minorGridlines>
        <c:title>
          <c:tx>
            <c:strRef>
              <c:f>'1. HOUSEHOLD TEMPERATURE'!$D$5</c:f>
              <c:strCache>
                <c:ptCount val="1"/>
                <c:pt idx="0">
                  <c:v>Hour of the day</c:v>
                </c:pt>
              </c:strCache>
            </c:strRef>
          </c:tx>
          <c:overlay val="0"/>
          <c:spPr>
            <a:noFill/>
            <a:ln>
              <a:noFill/>
            </a:ln>
            <a:effectLst/>
          </c:spPr>
          <c:txPr>
            <a:bodyPr rot="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crossAx val="34805343"/>
        <c:crosses val="autoZero"/>
        <c:crossBetween val="midCat"/>
        <c:majorUnit val="6"/>
        <c:minorUnit val="1"/>
      </c:valAx>
      <c:valAx>
        <c:axId val="34805343"/>
        <c:scaling>
          <c:orientation val="minMax"/>
          <c:max val="25"/>
          <c:min val="0"/>
        </c:scaling>
        <c:delete val="0"/>
        <c:axPos val="l"/>
        <c:majorGridlines>
          <c:spPr>
            <a:ln w="9525" cap="flat" cmpd="sng" algn="ctr">
              <a:solidFill>
                <a:schemeClr val="tx1">
                  <a:lumMod val="15000"/>
                  <a:lumOff val="85000"/>
                </a:schemeClr>
              </a:solidFill>
              <a:round/>
            </a:ln>
            <a:effectLst/>
          </c:spPr>
        </c:majorGridlines>
        <c:title>
          <c:tx>
            <c:strRef>
              <c:f>'1. HOUSEHOLD TEMPERATURE'!$D$6</c:f>
              <c:strCache>
                <c:ptCount val="1"/>
                <c:pt idx="0">
                  <c:v>Temperature (°C)</c:v>
                </c:pt>
              </c:strCache>
            </c:strRef>
          </c:tx>
          <c:overlay val="0"/>
          <c:spPr>
            <a:noFill/>
            <a:ln>
              <a:noFill/>
            </a:ln>
            <a:effectLst/>
          </c:spPr>
          <c:txPr>
            <a:bodyPr rot="-540000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crossAx val="34463903"/>
        <c:crosses val="autoZero"/>
        <c:crossBetween val="midCat"/>
        <c:majorUnit val="5"/>
      </c:valAx>
      <c:spPr>
        <a:noFill/>
        <a:ln w="25400">
          <a:solidFill>
            <a:schemeClr val="tx1"/>
          </a:solidFill>
        </a:ln>
        <a:effectLst/>
      </c:spPr>
    </c:plotArea>
    <c:legend>
      <c:legendPos val="r"/>
      <c:layout>
        <c:manualLayout>
          <c:xMode val="edge"/>
          <c:yMode val="edge"/>
          <c:x val="7.1542608087827142E-2"/>
          <c:y val="0.59460497955703917"/>
          <c:w val="0.24882120462469778"/>
          <c:h val="0.19878991515915209"/>
        </c:manualLayout>
      </c:layout>
      <c:overlay val="0"/>
      <c:spPr>
        <a:solidFill>
          <a:schemeClr val="bg1"/>
        </a:solidFill>
        <a:ln>
          <a:solidFill>
            <a:schemeClr val="tx1"/>
          </a:solidFill>
        </a:ln>
        <a:effectLst/>
      </c:spPr>
      <c:txPr>
        <a:bodyPr rot="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solidFill>
        <a:schemeClr val="tx1"/>
      </a:solidFill>
      <a:round/>
    </a:ln>
    <a:effectLst/>
  </c:spPr>
  <c:txPr>
    <a:bodyPr/>
    <a:lstStyle/>
    <a:p>
      <a:pPr>
        <a:defRPr sz="2400">
          <a:solidFill>
            <a:schemeClr val="tx1"/>
          </a:solidFill>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v>Gas Use</c:v>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E7D9-1A4C-A4A8-B73994BDA290}"/>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E7D9-1A4C-A4A8-B73994BDA290}"/>
              </c:ext>
            </c:extLst>
          </c:dPt>
          <c:dLbls>
            <c:dLbl>
              <c:idx val="0"/>
              <c:layout>
                <c:manualLayout>
                  <c:x val="6.7978533094812166E-2"/>
                  <c:y val="0"/>
                </c:manualLayout>
              </c:layout>
              <c:tx>
                <c:rich>
                  <a:bodyPr rot="0" spcFirstLastPara="1" vertOverflow="ellipsis" vert="horz" wrap="square" lIns="38100" tIns="19050" rIns="38100" bIns="19050" anchor="ctr" anchorCtr="1">
                    <a:spAutoFit/>
                  </a:bodyPr>
                  <a:lstStyle/>
                  <a:p>
                    <a:pPr>
                      <a:defRPr sz="1400" b="1" i="0" u="none" strike="noStrike" kern="1200" spc="0" baseline="0">
                        <a:solidFill>
                          <a:schemeClr val="accent1"/>
                        </a:solidFill>
                        <a:latin typeface="+mn-lt"/>
                        <a:ea typeface="+mn-ea"/>
                        <a:cs typeface="+mn-cs"/>
                      </a:defRPr>
                    </a:pPr>
                    <a:fld id="{C0239B25-B6B8-DA4A-9812-08C47B74550C}" type="CELLRANGE">
                      <a:rPr lang="en-US" baseline="0"/>
                      <a:pPr>
                        <a:defRPr sz="1400"/>
                      </a:pPr>
                      <a:t>[ZELLBEREICH]</a:t>
                    </a:fld>
                    <a:r>
                      <a:rPr lang="en-US" baseline="0"/>
                      <a:t>, </a:t>
                    </a:r>
                    <a:fld id="{608A16DB-AA6E-8D42-BBBD-45E52DC05D04}" type="CATEGORYNAME">
                      <a:rPr lang="en-US" baseline="0"/>
                      <a:pPr>
                        <a:defRPr sz="1400"/>
                      </a:pPr>
                      <a:t>[RUBRIKENNAME]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400" b="1" i="0" u="none" strike="noStrike" kern="1200" spc="0" baseline="0">
                      <a:solidFill>
                        <a:schemeClr val="accent1"/>
                      </a:solidFill>
                      <a:latin typeface="+mn-lt"/>
                      <a:ea typeface="+mn-ea"/>
                      <a:cs typeface="+mn-cs"/>
                    </a:defRPr>
                  </a:pPr>
                  <a:endParaRPr lang="de-DE"/>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7D9-1A4C-A4A8-B73994BDA290}"/>
                </c:ext>
              </c:extLst>
            </c:dLbl>
            <c:dLbl>
              <c:idx val="1"/>
              <c:layout>
                <c:manualLayout>
                  <c:x val="-0.1064401419858296"/>
                  <c:y val="-8.9285714285714281E-3"/>
                </c:manualLayout>
              </c:layout>
              <c:tx>
                <c:rich>
                  <a:bodyPr rot="0" spcFirstLastPara="1" vertOverflow="ellipsis" vert="horz" wrap="square" lIns="38100" tIns="19050" rIns="38100" bIns="19050" anchor="ctr" anchorCtr="1">
                    <a:spAutoFit/>
                  </a:bodyPr>
                  <a:lstStyle/>
                  <a:p>
                    <a:pPr>
                      <a:defRPr sz="1400" b="1" i="0" u="none" strike="noStrike" kern="1200" spc="0" baseline="0">
                        <a:solidFill>
                          <a:schemeClr val="accent1"/>
                        </a:solidFill>
                        <a:latin typeface="+mn-lt"/>
                        <a:ea typeface="+mn-ea"/>
                        <a:cs typeface="+mn-cs"/>
                      </a:defRPr>
                    </a:pPr>
                    <a:fld id="{F7E3CB7D-A286-4B48-8117-119577BA0BE2}" type="CELLRANGE">
                      <a:rPr lang="en-US" baseline="0"/>
                      <a:pPr>
                        <a:defRPr sz="1400">
                          <a:solidFill>
                            <a:schemeClr val="accent1"/>
                          </a:solidFill>
                        </a:defRPr>
                      </a:pPr>
                      <a:t>[ZELLBEREICH]</a:t>
                    </a:fld>
                    <a:r>
                      <a:rPr lang="en-US" baseline="0"/>
                      <a:t>, </a:t>
                    </a:r>
                    <a:fld id="{2AD46B15-AD89-6649-9C0B-5CECB46D046F}" type="CATEGORYNAME">
                      <a:rPr lang="en-US" baseline="0"/>
                      <a:pPr>
                        <a:defRPr sz="1400">
                          <a:solidFill>
                            <a:schemeClr val="accent1"/>
                          </a:solidFill>
                        </a:defRPr>
                      </a:pPr>
                      <a:t>[RUBRIKENNAME]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400" b="1" i="0" u="none" strike="noStrike" kern="1200" spc="0" baseline="0">
                      <a:solidFill>
                        <a:schemeClr val="accent1"/>
                      </a:solidFill>
                      <a:latin typeface="+mn-lt"/>
                      <a:ea typeface="+mn-ea"/>
                      <a:cs typeface="+mn-cs"/>
                    </a:defRPr>
                  </a:pPr>
                  <a:endParaRPr lang="de-DE"/>
                </a:p>
              </c:txPr>
              <c:dLblPos val="bestFit"/>
              <c:showLegendKey val="0"/>
              <c:showVal val="0"/>
              <c:showCatName val="1"/>
              <c:showSerName val="0"/>
              <c:showPercent val="0"/>
              <c:showBubbleSize val="0"/>
              <c:extLst>
                <c:ext xmlns:c15="http://schemas.microsoft.com/office/drawing/2012/chart" uri="{CE6537A1-D6FC-4f65-9D91-7224C49458BB}">
                  <c15:layout>
                    <c:manualLayout>
                      <c:w val="0.22319313171721153"/>
                      <c:h val="0.33196428571428571"/>
                    </c:manualLayout>
                  </c15:layout>
                  <c15:dlblFieldTable/>
                  <c15:showDataLabelsRange val="1"/>
                </c:ext>
                <c:ext xmlns:c16="http://schemas.microsoft.com/office/drawing/2014/chart" uri="{C3380CC4-5D6E-409C-BE32-E72D297353CC}">
                  <c16:uniqueId val="{00000003-E7D9-1A4C-A4A8-B73994BDA29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38100" cap="flat" cmpd="sng" algn="ctr">
                  <a:solidFill>
                    <a:schemeClr val="tx1"/>
                  </a:solidFill>
                  <a:round/>
                </a:ln>
                <a:effectLst/>
              </c:spPr>
            </c:leaderLines>
            <c:extLst>
              <c:ext xmlns:c15="http://schemas.microsoft.com/office/drawing/2012/chart" uri="{CE6537A1-D6FC-4f65-9D91-7224C49458BB}">
                <c15:showDataLabelsRange val="1"/>
              </c:ext>
            </c:extLst>
          </c:dLbls>
          <c:cat>
            <c:strRef>
              <c:f>'3. HEAT PUMP CALCULATION'!$C$21:$C$22</c:f>
              <c:strCache>
                <c:ptCount val="2"/>
                <c:pt idx="0">
                  <c:v>Heat used for hot water</c:v>
                </c:pt>
                <c:pt idx="1">
                  <c:v>Heat used for space heating</c:v>
                </c:pt>
              </c:strCache>
            </c:strRef>
          </c:cat>
          <c:val>
            <c:numRef>
              <c:f>'3. HEAT PUMP CALCULATION'!$F$21:$F$22</c:f>
              <c:numCache>
                <c:formatCode>0%</c:formatCode>
                <c:ptCount val="2"/>
                <c:pt idx="0">
                  <c:v>0.14599999999999999</c:v>
                </c:pt>
                <c:pt idx="1">
                  <c:v>0.85399999999999998</c:v>
                </c:pt>
              </c:numCache>
            </c:numRef>
          </c:val>
          <c:extLst>
            <c:ext xmlns:c15="http://schemas.microsoft.com/office/drawing/2012/chart" uri="{02D57815-91ED-43cb-92C2-25804820EDAC}">
              <c15:datalabelsRange>
                <c15:f>'3. HEAT PUMP CALCULATION'!$F$21:$F$22</c15:f>
                <c15:dlblRangeCache>
                  <c:ptCount val="2"/>
                  <c:pt idx="0">
                    <c:v>15%</c:v>
                  </c:pt>
                  <c:pt idx="1">
                    <c:v>85%</c:v>
                  </c:pt>
                </c15:dlblRangeCache>
              </c15:datalabelsRange>
            </c:ext>
            <c:ext xmlns:c16="http://schemas.microsoft.com/office/drawing/2014/chart" uri="{C3380CC4-5D6E-409C-BE32-E72D297353CC}">
              <c16:uniqueId val="{00000004-E7D9-1A4C-A4A8-B73994BDA290}"/>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609117905436358E-2"/>
          <c:y val="0.10059171597633136"/>
          <c:w val="0.94767977924730662"/>
          <c:h val="0.51646880678376739"/>
        </c:manualLayout>
      </c:layout>
      <c:scatterChart>
        <c:scatterStyle val="lineMarker"/>
        <c:varyColors val="0"/>
        <c:ser>
          <c:idx val="0"/>
          <c:order val="0"/>
          <c:tx>
            <c:v>Result</c:v>
          </c:tx>
          <c:spPr>
            <a:ln w="25400" cap="rnd">
              <a:noFill/>
              <a:round/>
            </a:ln>
            <a:effectLst/>
          </c:spPr>
          <c:marker>
            <c:symbol val="circle"/>
            <c:size val="15"/>
            <c:spPr>
              <a:solidFill>
                <a:srgbClr val="FFFF00"/>
              </a:solidFill>
              <a:ln w="53975">
                <a:solidFill>
                  <a:srgbClr val="FF0000"/>
                </a:solidFill>
              </a:ln>
              <a:effectLst/>
            </c:spPr>
          </c:marker>
          <c:xVal>
            <c:numRef>
              <c:f>'3. HEAT PUMP CALCULATION'!$D$31</c:f>
              <c:numCache>
                <c:formatCode>0</c:formatCode>
                <c:ptCount val="1"/>
                <c:pt idx="0">
                  <c:v>67.212962962962962</c:v>
                </c:pt>
              </c:numCache>
            </c:numRef>
          </c:xVal>
          <c:yVal>
            <c:numRef>
              <c:f>'3. HEAT PUMP CALCULATION'!$K$37</c:f>
              <c:numCache>
                <c:formatCode>General</c:formatCode>
                <c:ptCount val="1"/>
                <c:pt idx="0">
                  <c:v>0.5</c:v>
                </c:pt>
              </c:numCache>
            </c:numRef>
          </c:yVal>
          <c:smooth val="0"/>
          <c:extLst>
            <c:ext xmlns:c16="http://schemas.microsoft.com/office/drawing/2014/chart" uri="{C3380CC4-5D6E-409C-BE32-E72D297353CC}">
              <c16:uniqueId val="{00000002-EBC8-8242-AC20-6A2FB98127D4}"/>
            </c:ext>
          </c:extLst>
        </c:ser>
        <c:ser>
          <c:idx val="1"/>
          <c:order val="1"/>
          <c:tx>
            <c:strRef>
              <c:f>'3. HEAT PUMP CALCULATION'!$H$36</c:f>
              <c:strCache>
                <c:ptCount val="1"/>
                <c:pt idx="0">
                  <c:v>Passivhaus</c:v>
                </c:pt>
              </c:strCache>
            </c:strRef>
          </c:tx>
          <c:spPr>
            <a:ln w="50800" cap="rnd">
              <a:solidFill>
                <a:srgbClr val="7030A0"/>
              </a:solidFill>
              <a:round/>
            </a:ln>
            <a:effectLst/>
          </c:spPr>
          <c:marker>
            <c:symbol val="none"/>
          </c:marker>
          <c:xVal>
            <c:numRef>
              <c:f>'3. HEAT PUMP CALCULATION'!$I$36:$J$36</c:f>
              <c:numCache>
                <c:formatCode>General</c:formatCode>
                <c:ptCount val="2"/>
                <c:pt idx="0">
                  <c:v>15</c:v>
                </c:pt>
                <c:pt idx="1">
                  <c:v>15</c:v>
                </c:pt>
              </c:numCache>
            </c:numRef>
          </c:xVal>
          <c:yVal>
            <c:numRef>
              <c:f>'3. HEAT PUMP CALCULATION'!$I$35:$J$35</c:f>
              <c:numCache>
                <c:formatCode>General</c:formatCode>
                <c:ptCount val="2"/>
                <c:pt idx="0">
                  <c:v>0</c:v>
                </c:pt>
                <c:pt idx="1">
                  <c:v>1</c:v>
                </c:pt>
              </c:numCache>
            </c:numRef>
          </c:yVal>
          <c:smooth val="0"/>
          <c:extLst>
            <c:ext xmlns:c16="http://schemas.microsoft.com/office/drawing/2014/chart" uri="{C3380CC4-5D6E-409C-BE32-E72D297353CC}">
              <c16:uniqueId val="{00000003-EBC8-8242-AC20-6A2FB98127D4}"/>
            </c:ext>
          </c:extLst>
        </c:ser>
        <c:ser>
          <c:idx val="2"/>
          <c:order val="2"/>
          <c:tx>
            <c:strRef>
              <c:f>'3. HEAT PUMP CALCULATION'!$H$37</c:f>
              <c:strCache>
                <c:ptCount val="1"/>
                <c:pt idx="0">
                  <c:v>Enerphit</c:v>
                </c:pt>
              </c:strCache>
            </c:strRef>
          </c:tx>
          <c:spPr>
            <a:ln w="50800" cap="rnd">
              <a:solidFill>
                <a:srgbClr val="0432FF"/>
              </a:solidFill>
              <a:round/>
            </a:ln>
            <a:effectLst/>
          </c:spPr>
          <c:marker>
            <c:symbol val="none"/>
          </c:marker>
          <c:xVal>
            <c:numRef>
              <c:f>'3. HEAT PUMP CALCULATION'!$I$37:$J$37</c:f>
              <c:numCache>
                <c:formatCode>General</c:formatCode>
                <c:ptCount val="2"/>
                <c:pt idx="0">
                  <c:v>25</c:v>
                </c:pt>
                <c:pt idx="1">
                  <c:v>25</c:v>
                </c:pt>
              </c:numCache>
            </c:numRef>
          </c:xVal>
          <c:yVal>
            <c:numRef>
              <c:f>'3. HEAT PUMP CALCULATION'!$I$35:$J$35</c:f>
              <c:numCache>
                <c:formatCode>General</c:formatCode>
                <c:ptCount val="2"/>
                <c:pt idx="0">
                  <c:v>0</c:v>
                </c:pt>
                <c:pt idx="1">
                  <c:v>1</c:v>
                </c:pt>
              </c:numCache>
            </c:numRef>
          </c:yVal>
          <c:smooth val="0"/>
          <c:extLst>
            <c:ext xmlns:c16="http://schemas.microsoft.com/office/drawing/2014/chart" uri="{C3380CC4-5D6E-409C-BE32-E72D297353CC}">
              <c16:uniqueId val="{00000004-EBC8-8242-AC20-6A2FB98127D4}"/>
            </c:ext>
          </c:extLst>
        </c:ser>
        <c:ser>
          <c:idx val="3"/>
          <c:order val="3"/>
          <c:tx>
            <c:strRef>
              <c:f>'3. HEAT PUMP CALCULATION'!$H$38</c:f>
              <c:strCache>
                <c:ptCount val="1"/>
                <c:pt idx="0">
                  <c:v>Scottish Building Standards</c:v>
                </c:pt>
              </c:strCache>
            </c:strRef>
          </c:tx>
          <c:spPr>
            <a:ln w="50800" cap="rnd">
              <a:solidFill>
                <a:srgbClr val="FF0000"/>
              </a:solidFill>
              <a:round/>
            </a:ln>
            <a:effectLst/>
          </c:spPr>
          <c:marker>
            <c:symbol val="none"/>
          </c:marker>
          <c:xVal>
            <c:numRef>
              <c:f>'3. HEAT PUMP CALCULATION'!$I$38:$J$38</c:f>
              <c:numCache>
                <c:formatCode>General</c:formatCode>
                <c:ptCount val="2"/>
                <c:pt idx="0">
                  <c:v>50</c:v>
                </c:pt>
                <c:pt idx="1">
                  <c:v>50</c:v>
                </c:pt>
              </c:numCache>
            </c:numRef>
          </c:xVal>
          <c:yVal>
            <c:numRef>
              <c:f>'3. HEAT PUMP CALCULATION'!$I$35:$J$35</c:f>
              <c:numCache>
                <c:formatCode>General</c:formatCode>
                <c:ptCount val="2"/>
                <c:pt idx="0">
                  <c:v>0</c:v>
                </c:pt>
                <c:pt idx="1">
                  <c:v>1</c:v>
                </c:pt>
              </c:numCache>
            </c:numRef>
          </c:yVal>
          <c:smooth val="0"/>
          <c:extLst>
            <c:ext xmlns:c16="http://schemas.microsoft.com/office/drawing/2014/chart" uri="{C3380CC4-5D6E-409C-BE32-E72D297353CC}">
              <c16:uniqueId val="{00000006-EBC8-8242-AC20-6A2FB98127D4}"/>
            </c:ext>
          </c:extLst>
        </c:ser>
        <c:dLbls>
          <c:showLegendKey val="0"/>
          <c:showVal val="0"/>
          <c:showCatName val="0"/>
          <c:showSerName val="0"/>
          <c:showPercent val="0"/>
          <c:showBubbleSize val="0"/>
        </c:dLbls>
        <c:axId val="236236288"/>
        <c:axId val="568190591"/>
      </c:scatterChart>
      <c:valAx>
        <c:axId val="236236288"/>
        <c:scaling>
          <c:orientation val="minMax"/>
          <c:max val="200"/>
        </c:scaling>
        <c:delete val="0"/>
        <c:axPos val="b"/>
        <c:majorGridlines>
          <c:spPr>
            <a:ln w="12700" cap="flat" cmpd="sng" algn="ctr">
              <a:solidFill>
                <a:schemeClr val="bg1">
                  <a:lumMod val="50000"/>
                </a:schemeClr>
              </a:solidFill>
              <a:round/>
            </a:ln>
            <a:effectLst/>
          </c:spPr>
        </c:majorGridlines>
        <c:minorGridlines>
          <c:spPr>
            <a:ln w="12700" cap="flat" cmpd="sng" algn="ctr">
              <a:solidFill>
                <a:schemeClr val="bg1">
                  <a:lumMod val="75000"/>
                </a:schemeClr>
              </a:solidFill>
              <a:round/>
            </a:ln>
            <a:effectLst/>
          </c:spPr>
        </c:minorGridlines>
        <c:title>
          <c:tx>
            <c:strRef>
              <c:f>'3. HEAT PUMP CALCULATION'!$C$31</c:f>
              <c:strCache>
                <c:ptCount val="1"/>
                <c:pt idx="0">
                  <c:v>Insulation Figure of Merit</c:v>
                </c:pt>
              </c:strCache>
            </c:strRef>
          </c:tx>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crossAx val="568190591"/>
        <c:crosses val="autoZero"/>
        <c:crossBetween val="midCat"/>
      </c:valAx>
      <c:valAx>
        <c:axId val="568190591"/>
        <c:scaling>
          <c:orientation val="minMax"/>
          <c:max val="1"/>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236236288"/>
        <c:crosses val="autoZero"/>
        <c:crossBetween val="midCat"/>
        <c:majorUnit val="1"/>
      </c:valAx>
      <c:spPr>
        <a:noFill/>
        <a:ln w="38100">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1"/>
          <c:order val="0"/>
          <c:tx>
            <c:strRef>
              <c:f>'4. RADIATORS'!$G$71</c:f>
              <c:strCache>
                <c:ptCount val="1"/>
                <c:pt idx="0">
                  <c:v>Average Flow Temperature</c:v>
                </c:pt>
              </c:strCache>
            </c:strRef>
          </c:tx>
          <c:spPr>
            <a:ln w="25400" cap="rnd">
              <a:noFill/>
              <a:round/>
            </a:ln>
            <a:effectLst/>
          </c:spPr>
          <c:marker>
            <c:symbol val="circle"/>
            <c:size val="5"/>
            <c:spPr>
              <a:solidFill>
                <a:schemeClr val="accent2"/>
              </a:solidFill>
              <a:ln w="9525">
                <a:solidFill>
                  <a:schemeClr val="accent2"/>
                </a:solidFill>
              </a:ln>
              <a:effectLst/>
            </c:spPr>
          </c:marker>
          <c:xVal>
            <c:numRef>
              <c:f>'4. RADIATORS'!$G$72:$G$86</c:f>
              <c:numCache>
                <c:formatCode>General</c:formatCode>
                <c:ptCount val="15"/>
                <c:pt idx="0">
                  <c:v>25</c:v>
                </c:pt>
                <c:pt idx="1">
                  <c:v>30</c:v>
                </c:pt>
                <c:pt idx="2">
                  <c:v>35</c:v>
                </c:pt>
                <c:pt idx="3">
                  <c:v>40</c:v>
                </c:pt>
                <c:pt idx="4">
                  <c:v>45</c:v>
                </c:pt>
                <c:pt idx="5">
                  <c:v>50</c:v>
                </c:pt>
                <c:pt idx="6">
                  <c:v>55</c:v>
                </c:pt>
                <c:pt idx="7">
                  <c:v>60</c:v>
                </c:pt>
                <c:pt idx="8">
                  <c:v>65</c:v>
                </c:pt>
                <c:pt idx="9">
                  <c:v>70</c:v>
                </c:pt>
                <c:pt idx="10">
                  <c:v>75</c:v>
                </c:pt>
                <c:pt idx="11">
                  <c:v>80</c:v>
                </c:pt>
                <c:pt idx="12">
                  <c:v>85</c:v>
                </c:pt>
                <c:pt idx="13">
                  <c:v>90</c:v>
                </c:pt>
                <c:pt idx="14">
                  <c:v>95</c:v>
                </c:pt>
              </c:numCache>
            </c:numRef>
          </c:xVal>
          <c:yVal>
            <c:numRef>
              <c:f>'4. RADIATORS'!$F$72:$F$86</c:f>
              <c:numCache>
                <c:formatCode>0.000</c:formatCode>
                <c:ptCount val="15"/>
                <c:pt idx="0">
                  <c:v>0.05</c:v>
                </c:pt>
                <c:pt idx="1">
                  <c:v>0.123</c:v>
                </c:pt>
                <c:pt idx="2">
                  <c:v>0.20899999999999999</c:v>
                </c:pt>
                <c:pt idx="3">
                  <c:v>0.30399999999999999</c:v>
                </c:pt>
                <c:pt idx="4">
                  <c:v>0.40600000000000003</c:v>
                </c:pt>
                <c:pt idx="5">
                  <c:v>0.51500000000000001</c:v>
                </c:pt>
                <c:pt idx="6">
                  <c:v>0.629</c:v>
                </c:pt>
                <c:pt idx="7">
                  <c:v>0.748</c:v>
                </c:pt>
                <c:pt idx="8">
                  <c:v>0.872</c:v>
                </c:pt>
                <c:pt idx="9">
                  <c:v>1</c:v>
                </c:pt>
                <c:pt idx="10">
                  <c:v>1.1319999999999999</c:v>
                </c:pt>
                <c:pt idx="11">
                  <c:v>1.2669999999999999</c:v>
                </c:pt>
                <c:pt idx="12">
                  <c:v>1.4059999999999999</c:v>
                </c:pt>
                <c:pt idx="13">
                  <c:v>1.5489999999999999</c:v>
                </c:pt>
                <c:pt idx="14">
                  <c:v>1.694</c:v>
                </c:pt>
              </c:numCache>
            </c:numRef>
          </c:yVal>
          <c:smooth val="0"/>
          <c:extLst>
            <c:ext xmlns:c16="http://schemas.microsoft.com/office/drawing/2014/chart" uri="{C3380CC4-5D6E-409C-BE32-E72D297353CC}">
              <c16:uniqueId val="{00000000-2CB1-FD4D-93BB-534958170658}"/>
            </c:ext>
          </c:extLst>
        </c:ser>
        <c:ser>
          <c:idx val="0"/>
          <c:order val="1"/>
          <c:tx>
            <c:v>Limited Range</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forward val="20"/>
            <c:dispRSqr val="0"/>
            <c:dispEq val="0"/>
          </c:trendline>
          <c:xVal>
            <c:numRef>
              <c:f>'4. RADIATORS'!$H$72:$H$78</c:f>
              <c:numCache>
                <c:formatCode>General</c:formatCode>
                <c:ptCount val="7"/>
                <c:pt idx="0">
                  <c:v>25</c:v>
                </c:pt>
                <c:pt idx="1">
                  <c:v>30</c:v>
                </c:pt>
                <c:pt idx="2">
                  <c:v>35</c:v>
                </c:pt>
                <c:pt idx="3">
                  <c:v>40</c:v>
                </c:pt>
                <c:pt idx="4">
                  <c:v>45</c:v>
                </c:pt>
                <c:pt idx="5">
                  <c:v>50</c:v>
                </c:pt>
                <c:pt idx="6">
                  <c:v>55</c:v>
                </c:pt>
              </c:numCache>
            </c:numRef>
          </c:xVal>
          <c:yVal>
            <c:numRef>
              <c:f>'4. RADIATORS'!$F$72:$F$78</c:f>
              <c:numCache>
                <c:formatCode>0.000</c:formatCode>
                <c:ptCount val="7"/>
                <c:pt idx="0">
                  <c:v>0.05</c:v>
                </c:pt>
                <c:pt idx="1">
                  <c:v>0.123</c:v>
                </c:pt>
                <c:pt idx="2">
                  <c:v>0.20899999999999999</c:v>
                </c:pt>
                <c:pt idx="3">
                  <c:v>0.30399999999999999</c:v>
                </c:pt>
                <c:pt idx="4">
                  <c:v>0.40600000000000003</c:v>
                </c:pt>
                <c:pt idx="5">
                  <c:v>0.51500000000000001</c:v>
                </c:pt>
                <c:pt idx="6">
                  <c:v>0.629</c:v>
                </c:pt>
              </c:numCache>
            </c:numRef>
          </c:yVal>
          <c:smooth val="0"/>
          <c:extLst>
            <c:ext xmlns:c16="http://schemas.microsoft.com/office/drawing/2014/chart" uri="{C3380CC4-5D6E-409C-BE32-E72D297353CC}">
              <c16:uniqueId val="{00000002-2CB1-FD4D-93BB-534958170658}"/>
            </c:ext>
          </c:extLst>
        </c:ser>
        <c:dLbls>
          <c:showLegendKey val="0"/>
          <c:showVal val="0"/>
          <c:showCatName val="0"/>
          <c:showSerName val="0"/>
          <c:showPercent val="0"/>
          <c:showBubbleSize val="0"/>
        </c:dLbls>
        <c:axId val="1383536735"/>
        <c:axId val="1149914816"/>
      </c:scatterChart>
      <c:valAx>
        <c:axId val="13835367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crossAx val="1149914816"/>
        <c:crosses val="autoZero"/>
        <c:crossBetween val="midCat"/>
      </c:valAx>
      <c:valAx>
        <c:axId val="114991481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crossAx val="1383536735"/>
        <c:crosses val="autoZero"/>
        <c:crossBetween val="midCat"/>
      </c:valAx>
      <c:spPr>
        <a:noFill/>
        <a:ln w="25400">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600"/>
      </a:pPr>
      <a:endParaRPr lang="de-DE"/>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1"/>
          <c:order val="0"/>
          <c:tx>
            <c:strRef>
              <c:f>'5 RADIATORS '!$G$77</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xVal>
            <c:numRef>
              <c:f>'5 RADIATORS '!$G$78:$G$92</c:f>
              <c:numCache>
                <c:formatCode>General</c:formatCode>
                <c:ptCount val="15"/>
              </c:numCache>
            </c:numRef>
          </c:xVal>
          <c:yVal>
            <c:numRef>
              <c:f>'5 RADIATORS '!$F$78:$F$92</c:f>
              <c:numCache>
                <c:formatCode>0.000</c:formatCode>
                <c:ptCount val="15"/>
              </c:numCache>
            </c:numRef>
          </c:yVal>
          <c:smooth val="0"/>
          <c:extLst>
            <c:ext xmlns:c16="http://schemas.microsoft.com/office/drawing/2014/chart" uri="{C3380CC4-5D6E-409C-BE32-E72D297353CC}">
              <c16:uniqueId val="{00000000-7BF9-AB4B-80E4-781AEEF52146}"/>
            </c:ext>
          </c:extLst>
        </c:ser>
        <c:ser>
          <c:idx val="0"/>
          <c:order val="1"/>
          <c:tx>
            <c:v>Limited Range</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forward val="20"/>
            <c:dispRSqr val="0"/>
            <c:dispEq val="0"/>
          </c:trendline>
          <c:xVal>
            <c:numRef>
              <c:f>'5 RADIATORS '!$H$78:$H$84</c:f>
              <c:numCache>
                <c:formatCode>General</c:formatCode>
                <c:ptCount val="7"/>
              </c:numCache>
            </c:numRef>
          </c:xVal>
          <c:yVal>
            <c:numRef>
              <c:f>'5 RADIATORS '!$F$78:$F$84</c:f>
              <c:numCache>
                <c:formatCode>0.000</c:formatCode>
                <c:ptCount val="7"/>
              </c:numCache>
            </c:numRef>
          </c:yVal>
          <c:smooth val="0"/>
          <c:extLst>
            <c:ext xmlns:c16="http://schemas.microsoft.com/office/drawing/2014/chart" uri="{C3380CC4-5D6E-409C-BE32-E72D297353CC}">
              <c16:uniqueId val="{00000002-7BF9-AB4B-80E4-781AEEF52146}"/>
            </c:ext>
          </c:extLst>
        </c:ser>
        <c:dLbls>
          <c:showLegendKey val="0"/>
          <c:showVal val="0"/>
          <c:showCatName val="0"/>
          <c:showSerName val="0"/>
          <c:showPercent val="0"/>
          <c:showBubbleSize val="0"/>
        </c:dLbls>
        <c:axId val="1383536735"/>
        <c:axId val="1149914816"/>
      </c:scatterChart>
      <c:valAx>
        <c:axId val="13835367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crossAx val="1149914816"/>
        <c:crosses val="autoZero"/>
        <c:crossBetween val="midCat"/>
      </c:valAx>
      <c:valAx>
        <c:axId val="114991481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crossAx val="1383536735"/>
        <c:crosses val="autoZero"/>
        <c:crossBetween val="midCat"/>
      </c:valAx>
      <c:spPr>
        <a:noFill/>
        <a:ln w="25400">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600"/>
      </a:pPr>
      <a:endParaRPr lang="de-DE"/>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'5 RADIATORS '!$I$9</c:f>
              <c:strCache>
                <c:ptCount val="1"/>
                <c:pt idx="0">
                  <c:v>Fraction of heating achieved</c:v>
                </c:pt>
              </c:strCache>
            </c:strRef>
          </c:tx>
          <c:spPr>
            <a:solidFill>
              <a:schemeClr val="accent1"/>
            </a:solidFill>
            <a:ln>
              <a:noFill/>
            </a:ln>
            <a:effectLst/>
          </c:spPr>
          <c:invertIfNegative val="0"/>
          <c:dLbls>
            <c:dLbl>
              <c:idx val="0"/>
              <c:layout>
                <c:manualLayout>
                  <c:x val="3.4547153464168211E-3"/>
                  <c:y val="0.34562863170000013"/>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rgbClr val="FFFF00"/>
                      </a:solidFill>
                      <a:latin typeface="+mn-lt"/>
                      <a:ea typeface="+mn-ea"/>
                      <a:cs typeface="+mn-cs"/>
                    </a:defRPr>
                  </a:pPr>
                  <a:endParaRPr lang="de-DE"/>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1C-AA4B-AB42-ED090670823E}"/>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'5 RADIATORS '!$J$9</c:f>
              <c:numCache>
                <c:formatCode>0%</c:formatCode>
                <c:ptCount val="1"/>
                <c:pt idx="0">
                  <c:v>1.0607252558448517</c:v>
                </c:pt>
              </c:numCache>
            </c:numRef>
          </c:val>
          <c:extLst>
            <c:ext xmlns:c16="http://schemas.microsoft.com/office/drawing/2014/chart" uri="{C3380CC4-5D6E-409C-BE32-E72D297353CC}">
              <c16:uniqueId val="{00000000-B21C-AA4B-AB42-ED090670823E}"/>
            </c:ext>
          </c:extLst>
        </c:ser>
        <c:dLbls>
          <c:showLegendKey val="0"/>
          <c:showVal val="0"/>
          <c:showCatName val="0"/>
          <c:showSerName val="0"/>
          <c:showPercent val="0"/>
          <c:showBubbleSize val="0"/>
        </c:dLbls>
        <c:gapWidth val="219"/>
        <c:overlap val="-27"/>
        <c:axId val="708787631"/>
        <c:axId val="239125648"/>
      </c:barChart>
      <c:catAx>
        <c:axId val="7087876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crossAx val="239125648"/>
        <c:crosses val="autoZero"/>
        <c:auto val="1"/>
        <c:lblAlgn val="ctr"/>
        <c:lblOffset val="100"/>
        <c:noMultiLvlLbl val="0"/>
      </c:catAx>
      <c:valAx>
        <c:axId val="2391256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de-DE"/>
          </a:p>
        </c:txPr>
        <c:crossAx val="7087876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38100" cap="flat" cmpd="sng" algn="ctr">
      <a:solidFill>
        <a:srgbClr val="FF0000"/>
      </a:solidFill>
      <a:round/>
    </a:ln>
    <a:effectLst/>
  </c:spPr>
  <c:txPr>
    <a:bodyPr/>
    <a:lstStyle/>
    <a:p>
      <a:pPr>
        <a:defRPr sz="1600"/>
      </a:pPr>
      <a:endParaRPr lang="de-D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80" b="0" i="0" u="none" strike="noStrike" kern="1200" spc="0" baseline="0">
                <a:solidFill>
                  <a:schemeClr val="tx1"/>
                </a:solidFill>
                <a:latin typeface="+mn-lt"/>
                <a:ea typeface="+mn-ea"/>
                <a:cs typeface="+mn-cs"/>
              </a:defRPr>
            </a:pPr>
            <a:r>
              <a:rPr lang="en-GB"/>
              <a:t>Annual Carbon Dioxide Emissions</a:t>
            </a:r>
          </a:p>
        </c:rich>
      </c:tx>
      <c:layout>
        <c:manualLayout>
          <c:xMode val="edge"/>
          <c:yMode val="edge"/>
          <c:x val="0.29054233815487585"/>
          <c:y val="6.5826994219444365E-2"/>
        </c:manualLayout>
      </c:layout>
      <c:overlay val="0"/>
      <c:spPr>
        <a:noFill/>
        <a:ln>
          <a:noFill/>
        </a:ln>
        <a:effectLst/>
      </c:spPr>
      <c:txPr>
        <a:bodyPr rot="0" spcFirstLastPara="1" vertOverflow="ellipsis" vert="horz" wrap="square" anchor="ctr" anchorCtr="1"/>
        <a:lstStyle/>
        <a:p>
          <a:pPr>
            <a:defRPr sz="2880" b="0"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15134530081120356"/>
          <c:y val="0.20996754523119485"/>
          <c:w val="0.77818160693910254"/>
          <c:h val="0.60381362862395227"/>
        </c:manualLayout>
      </c:layout>
      <c:barChart>
        <c:barDir val="col"/>
        <c:grouping val="clustered"/>
        <c:varyColors val="0"/>
        <c:ser>
          <c:idx val="0"/>
          <c:order val="0"/>
          <c:spPr>
            <a:solidFill>
              <a:schemeClr val="bg1">
                <a:lumMod val="50000"/>
              </a:schemeClr>
            </a:solidFill>
            <a:ln>
              <a:noFill/>
            </a:ln>
            <a:effectLst/>
          </c:spPr>
          <c:invertIfNegative val="0"/>
          <c:dLbls>
            <c:spPr>
              <a:solidFill>
                <a:srgbClr val="FF0000"/>
              </a:solidFill>
              <a:ln>
                <a:noFill/>
              </a:ln>
              <a:effectLst/>
            </c:spPr>
            <c:txPr>
              <a:bodyPr rot="0" spcFirstLastPara="1" vertOverflow="ellipsis" vert="horz" wrap="square" anchor="ctr" anchorCtr="1"/>
              <a:lstStyle/>
              <a:p>
                <a:pPr>
                  <a:defRPr sz="2400" b="0" i="0" u="none" strike="noStrike" kern="1200" baseline="0">
                    <a:solidFill>
                      <a:srgbClr val="FFFF00"/>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  SUMMARY'!$H$35:$H$36</c:f>
              <c:strCache>
                <c:ptCount val="2"/>
                <c:pt idx="0">
                  <c:v>Gas</c:v>
                </c:pt>
                <c:pt idx="1">
                  <c:v>Heat Pump</c:v>
                </c:pt>
              </c:strCache>
            </c:strRef>
          </c:cat>
          <c:val>
            <c:numRef>
              <c:f>'6.  SUMMARY'!$I$35:$I$36</c:f>
              <c:numCache>
                <c:formatCode>0.00</c:formatCode>
                <c:ptCount val="2"/>
                <c:pt idx="0">
                  <c:v>3.45</c:v>
                </c:pt>
                <c:pt idx="1">
                  <c:v>0.88835739989029072</c:v>
                </c:pt>
              </c:numCache>
            </c:numRef>
          </c:val>
          <c:extLst>
            <c:ext xmlns:c16="http://schemas.microsoft.com/office/drawing/2014/chart" uri="{C3380CC4-5D6E-409C-BE32-E72D297353CC}">
              <c16:uniqueId val="{00000000-BC04-6A42-A0D5-BB72BF2A52C9}"/>
            </c:ext>
          </c:extLst>
        </c:ser>
        <c:dLbls>
          <c:showLegendKey val="0"/>
          <c:showVal val="0"/>
          <c:showCatName val="0"/>
          <c:showSerName val="0"/>
          <c:showPercent val="0"/>
          <c:showBubbleSize val="0"/>
        </c:dLbls>
        <c:gapWidth val="219"/>
        <c:overlap val="-27"/>
        <c:axId val="289924992"/>
        <c:axId val="1479600463"/>
      </c:barChart>
      <c:catAx>
        <c:axId val="289924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crossAx val="1479600463"/>
        <c:crosses val="autoZero"/>
        <c:auto val="1"/>
        <c:lblAlgn val="ctr"/>
        <c:lblOffset val="100"/>
        <c:noMultiLvlLbl val="0"/>
      </c:catAx>
      <c:valAx>
        <c:axId val="1479600463"/>
        <c:scaling>
          <c:orientation val="minMax"/>
        </c:scaling>
        <c:delete val="0"/>
        <c:axPos val="l"/>
        <c:majorGridlines>
          <c:spPr>
            <a:ln w="12700" cap="flat" cmpd="sng" algn="ctr">
              <a:solidFill>
                <a:schemeClr val="bg1">
                  <a:lumMod val="50000"/>
                </a:schemeClr>
              </a:solidFill>
              <a:round/>
            </a:ln>
            <a:effectLst/>
          </c:spPr>
        </c:majorGridlines>
        <c:title>
          <c:tx>
            <c:strRef>
              <c:f>'6.  SUMMARY'!$I$34</c:f>
              <c:strCache>
                <c:ptCount val="1"/>
                <c:pt idx="0">
                  <c:v>Tonnes of Carbon Dioxide</c:v>
                </c:pt>
              </c:strCache>
            </c:strRef>
          </c:tx>
          <c:layout>
            <c:manualLayout>
              <c:xMode val="edge"/>
              <c:yMode val="edge"/>
              <c:x val="3.0441041023023595E-2"/>
              <c:y val="0.26574236624405556"/>
            </c:manualLayout>
          </c:layout>
          <c:overlay val="0"/>
          <c:spPr>
            <a:noFill/>
            <a:ln>
              <a:noFill/>
            </a:ln>
            <a:effectLst/>
          </c:spPr>
          <c:txPr>
            <a:bodyPr rot="-540000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de-DE"/>
          </a:p>
        </c:txPr>
        <c:crossAx val="289924992"/>
        <c:crosses val="autoZero"/>
        <c:crossBetween val="between"/>
        <c:majorUnit val="1"/>
      </c:valAx>
      <c:spPr>
        <a:noFill/>
        <a:ln w="38100">
          <a:solidFill>
            <a:schemeClr val="bg1">
              <a:lumMod val="50000"/>
            </a:schemeClr>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38100" cap="flat" cmpd="sng" algn="ctr">
      <a:solidFill>
        <a:schemeClr val="tx1"/>
      </a:solidFill>
      <a:round/>
    </a:ln>
    <a:effectLst/>
  </c:spPr>
  <c:txPr>
    <a:bodyPr/>
    <a:lstStyle/>
    <a:p>
      <a:pPr>
        <a:defRPr sz="2400">
          <a:solidFill>
            <a:schemeClr val="tx1"/>
          </a:solidFill>
        </a:defRPr>
      </a:pPr>
      <a:endParaRPr lang="de-D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'Reference -UK HDD Data'!$CJ$12</c:f>
          <c:strCache>
            <c:ptCount val="1"/>
            <c:pt idx="0">
              <c:v>Slope</c:v>
            </c:pt>
          </c:strCache>
        </c:strRef>
      </c:tx>
      <c:overlay val="0"/>
      <c:spPr>
        <a:noFill/>
        <a:ln>
          <a:noFill/>
        </a:ln>
        <a:effectLst/>
      </c:spPr>
      <c:txPr>
        <a:bodyPr rot="0" spcFirstLastPara="1" vertOverflow="ellipsis" vert="horz" wrap="square" anchor="ctr" anchorCtr="1"/>
        <a:lstStyle/>
        <a:p>
          <a:pPr>
            <a:defRPr sz="216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scatterChart>
        <c:scatterStyle val="lineMarker"/>
        <c:varyColors val="0"/>
        <c:ser>
          <c:idx val="0"/>
          <c:order val="0"/>
          <c:tx>
            <c:v>Slope Values</c:v>
          </c:tx>
          <c:spPr>
            <a:ln w="19050" cap="rnd">
              <a:noFill/>
              <a:round/>
            </a:ln>
            <a:effectLst/>
          </c:spPr>
          <c:marker>
            <c:symbol val="circle"/>
            <c:size val="5"/>
            <c:spPr>
              <a:solidFill>
                <a:srgbClr val="FF0000"/>
              </a:solidFill>
              <a:ln w="9525">
                <a:solidFill>
                  <a:schemeClr val="tx1"/>
                </a:solidFill>
              </a:ln>
              <a:effectLst/>
            </c:spPr>
          </c:marker>
          <c:yVal>
            <c:numRef>
              <c:f>'Reference -UK HDD Data'!$CJ$13:$CJ$31</c:f>
              <c:numCache>
                <c:formatCode>0</c:formatCode>
                <c:ptCount val="19"/>
                <c:pt idx="0">
                  <c:v>318.76666666666711</c:v>
                </c:pt>
                <c:pt idx="1">
                  <c:v>295.76666666666699</c:v>
                </c:pt>
                <c:pt idx="2">
                  <c:v>317.11666666666679</c:v>
                </c:pt>
                <c:pt idx="3">
                  <c:v>295.29999999999973</c:v>
                </c:pt>
                <c:pt idx="4">
                  <c:v>303.26666666666654</c:v>
                </c:pt>
                <c:pt idx="5">
                  <c:v>279.9500000000005</c:v>
                </c:pt>
                <c:pt idx="6">
                  <c:v>284.0500000000003</c:v>
                </c:pt>
                <c:pt idx="7">
                  <c:v>294.8499999999998</c:v>
                </c:pt>
                <c:pt idx="8">
                  <c:v>319.70000000000005</c:v>
                </c:pt>
                <c:pt idx="9">
                  <c:v>305.48333333333335</c:v>
                </c:pt>
                <c:pt idx="10">
                  <c:v>312.13333333333321</c:v>
                </c:pt>
                <c:pt idx="11">
                  <c:v>329.5</c:v>
                </c:pt>
                <c:pt idx="12">
                  <c:v>326.08333333333394</c:v>
                </c:pt>
                <c:pt idx="13">
                  <c:v>330.51666666666688</c:v>
                </c:pt>
                <c:pt idx="14">
                  <c:v>330.78333333333353</c:v>
                </c:pt>
                <c:pt idx="15">
                  <c:v>339.08333333333326</c:v>
                </c:pt>
                <c:pt idx="16">
                  <c:v>332.90000000000009</c:v>
                </c:pt>
                <c:pt idx="17">
                  <c:v>327.36666666666588</c:v>
                </c:pt>
                <c:pt idx="18">
                  <c:v>336.03333333333308</c:v>
                </c:pt>
              </c:numCache>
            </c:numRef>
          </c:yVal>
          <c:smooth val="0"/>
          <c:extLst>
            <c:ext xmlns:c16="http://schemas.microsoft.com/office/drawing/2014/chart" uri="{C3380CC4-5D6E-409C-BE32-E72D297353CC}">
              <c16:uniqueId val="{00000000-AE38-4049-8CF0-420121BC8BAB}"/>
            </c:ext>
          </c:extLst>
        </c:ser>
        <c:ser>
          <c:idx val="1"/>
          <c:order val="1"/>
          <c:tx>
            <c:strRef>
              <c:f>'Reference -UK HDD Data'!$CN$4</c:f>
              <c:strCache>
                <c:ptCount val="1"/>
                <c:pt idx="0">
                  <c:v>Average</c:v>
                </c:pt>
              </c:strCache>
            </c:strRef>
          </c:tx>
          <c:spPr>
            <a:ln w="38100" cap="rnd">
              <a:solidFill>
                <a:schemeClr val="tx1"/>
              </a:solidFill>
              <a:prstDash val="dash"/>
              <a:round/>
            </a:ln>
            <a:effectLst/>
          </c:spPr>
          <c:marker>
            <c:symbol val="none"/>
          </c:marker>
          <c:xVal>
            <c:numRef>
              <c:f>'Reference -UK HDD Data'!$CM$5:$CM$6</c:f>
              <c:numCache>
                <c:formatCode>General</c:formatCode>
                <c:ptCount val="2"/>
                <c:pt idx="0">
                  <c:v>0</c:v>
                </c:pt>
                <c:pt idx="1">
                  <c:v>20</c:v>
                </c:pt>
              </c:numCache>
            </c:numRef>
          </c:xVal>
          <c:yVal>
            <c:numRef>
              <c:f>'Reference -UK HDD Data'!$CN$5:$CN$6</c:f>
              <c:numCache>
                <c:formatCode>0</c:formatCode>
                <c:ptCount val="2"/>
                <c:pt idx="0">
                  <c:v>314.66578947368424</c:v>
                </c:pt>
                <c:pt idx="1">
                  <c:v>314.66578947368424</c:v>
                </c:pt>
              </c:numCache>
            </c:numRef>
          </c:yVal>
          <c:smooth val="0"/>
          <c:extLst>
            <c:ext xmlns:c16="http://schemas.microsoft.com/office/drawing/2014/chart" uri="{C3380CC4-5D6E-409C-BE32-E72D297353CC}">
              <c16:uniqueId val="{00000001-AE38-4049-8CF0-420121BC8BAB}"/>
            </c:ext>
          </c:extLst>
        </c:ser>
        <c:ser>
          <c:idx val="2"/>
          <c:order val="2"/>
          <c:tx>
            <c:strRef>
              <c:f>'Reference -UK HDD Data'!$CO$4</c:f>
              <c:strCache>
                <c:ptCount val="1"/>
                <c:pt idx="0">
                  <c:v>Max</c:v>
                </c:pt>
              </c:strCache>
            </c:strRef>
          </c:tx>
          <c:spPr>
            <a:ln w="25400" cap="rnd">
              <a:solidFill>
                <a:schemeClr val="tx1"/>
              </a:solidFill>
              <a:prstDash val="dash"/>
              <a:round/>
            </a:ln>
            <a:effectLst/>
          </c:spPr>
          <c:marker>
            <c:symbol val="none"/>
          </c:marker>
          <c:xVal>
            <c:numRef>
              <c:f>'Reference -UK HDD Data'!$CM$5:$CM$6</c:f>
              <c:numCache>
                <c:formatCode>General</c:formatCode>
                <c:ptCount val="2"/>
                <c:pt idx="0">
                  <c:v>0</c:v>
                </c:pt>
                <c:pt idx="1">
                  <c:v>20</c:v>
                </c:pt>
              </c:numCache>
            </c:numRef>
          </c:xVal>
          <c:yVal>
            <c:numRef>
              <c:f>'Reference -UK HDD Data'!$CO$5:$CO$6</c:f>
              <c:numCache>
                <c:formatCode>0</c:formatCode>
                <c:ptCount val="2"/>
                <c:pt idx="0">
                  <c:v>344.23245614035062</c:v>
                </c:pt>
                <c:pt idx="1">
                  <c:v>344.23245614035062</c:v>
                </c:pt>
              </c:numCache>
            </c:numRef>
          </c:yVal>
          <c:smooth val="0"/>
          <c:extLst>
            <c:ext xmlns:c16="http://schemas.microsoft.com/office/drawing/2014/chart" uri="{C3380CC4-5D6E-409C-BE32-E72D297353CC}">
              <c16:uniqueId val="{00000002-AE38-4049-8CF0-420121BC8BAB}"/>
            </c:ext>
          </c:extLst>
        </c:ser>
        <c:ser>
          <c:idx val="3"/>
          <c:order val="3"/>
          <c:tx>
            <c:strRef>
              <c:f>'Reference -UK HDD Data'!$CP$4</c:f>
              <c:strCache>
                <c:ptCount val="1"/>
                <c:pt idx="0">
                  <c:v>Min</c:v>
                </c:pt>
              </c:strCache>
            </c:strRef>
          </c:tx>
          <c:spPr>
            <a:ln w="25400" cap="rnd">
              <a:solidFill>
                <a:schemeClr val="tx1"/>
              </a:solidFill>
              <a:prstDash val="dash"/>
              <a:round/>
            </a:ln>
            <a:effectLst/>
          </c:spPr>
          <c:marker>
            <c:symbol val="none"/>
          </c:marker>
          <c:xVal>
            <c:numRef>
              <c:f>'Reference -UK HDD Data'!$CM$5:$CM$6</c:f>
              <c:numCache>
                <c:formatCode>General</c:formatCode>
                <c:ptCount val="2"/>
                <c:pt idx="0">
                  <c:v>0</c:v>
                </c:pt>
                <c:pt idx="1">
                  <c:v>20</c:v>
                </c:pt>
              </c:numCache>
            </c:numRef>
          </c:xVal>
          <c:yVal>
            <c:numRef>
              <c:f>'Reference -UK HDD Data'!$CP$5:$CP$6</c:f>
              <c:numCache>
                <c:formatCode>0</c:formatCode>
                <c:ptCount val="2"/>
                <c:pt idx="0">
                  <c:v>285.09912280701786</c:v>
                </c:pt>
                <c:pt idx="1">
                  <c:v>285.09912280701786</c:v>
                </c:pt>
              </c:numCache>
            </c:numRef>
          </c:yVal>
          <c:smooth val="0"/>
          <c:extLst>
            <c:ext xmlns:c16="http://schemas.microsoft.com/office/drawing/2014/chart" uri="{C3380CC4-5D6E-409C-BE32-E72D297353CC}">
              <c16:uniqueId val="{00000003-AE38-4049-8CF0-420121BC8BAB}"/>
            </c:ext>
          </c:extLst>
        </c:ser>
        <c:dLbls>
          <c:showLegendKey val="0"/>
          <c:showVal val="0"/>
          <c:showCatName val="0"/>
          <c:showSerName val="0"/>
          <c:showPercent val="0"/>
          <c:showBubbleSize val="0"/>
        </c:dLbls>
        <c:axId val="1106744831"/>
        <c:axId val="1106423999"/>
      </c:scatterChart>
      <c:valAx>
        <c:axId val="1106744831"/>
        <c:scaling>
          <c:orientation val="minMax"/>
          <c:max val="20"/>
          <c:min val="0"/>
        </c:scaling>
        <c:delete val="0"/>
        <c:axPos val="b"/>
        <c:majorGridlines>
          <c:spPr>
            <a:ln w="9525" cap="flat" cmpd="sng" algn="ctr">
              <a:solidFill>
                <a:schemeClr val="tx1">
                  <a:lumMod val="15000"/>
                  <a:lumOff val="85000"/>
                </a:schemeClr>
              </a:solidFill>
              <a:round/>
            </a:ln>
            <a:effectLst/>
          </c:spPr>
        </c:majorGridlines>
        <c:title>
          <c:tx>
            <c:strRef>
              <c:f>'Reference -UK HDD Data'!$CM$8</c:f>
              <c:strCache>
                <c:ptCount val="1"/>
                <c:pt idx="0">
                  <c:v>Station</c:v>
                </c:pt>
              </c:strCache>
            </c:strRef>
          </c:tx>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de-DE"/>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de-DE"/>
          </a:p>
        </c:txPr>
        <c:crossAx val="1106423999"/>
        <c:crosses val="autoZero"/>
        <c:crossBetween val="midCat"/>
      </c:valAx>
      <c:valAx>
        <c:axId val="1106423999"/>
        <c:scaling>
          <c:orientation val="minMax"/>
        </c:scaling>
        <c:delete val="0"/>
        <c:axPos val="l"/>
        <c:majorGridlines>
          <c:spPr>
            <a:ln w="9525" cap="flat" cmpd="sng" algn="ctr">
              <a:solidFill>
                <a:schemeClr val="tx1">
                  <a:lumMod val="15000"/>
                  <a:lumOff val="85000"/>
                </a:schemeClr>
              </a:solidFill>
              <a:round/>
            </a:ln>
            <a:effectLst/>
          </c:spPr>
        </c:majorGridlines>
        <c:title>
          <c:tx>
            <c:strRef>
              <c:f>'Reference -UK HDD Data'!$CM$9</c:f>
              <c:strCache>
                <c:ptCount val="1"/>
                <c:pt idx="0">
                  <c:v>HDD Slope (°C-days/°C)</c:v>
                </c:pt>
              </c:strCache>
            </c:strRef>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de-DE"/>
          </a:p>
        </c:txPr>
        <c:crossAx val="110674483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800"/>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firstButton="1" fmlaLink="$R$19" lockText="1" noThreeD="1"/>
</file>

<file path=xl/ctrlProps/ctrlProp11.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checked="Checked" firstButton="1" fmlaLink="$W$19"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fmlaLink="$C$11" lockText="1"/>
</file>

<file path=xl/ctrlProps/ctrlProp2.xml><?xml version="1.0" encoding="utf-8"?>
<formControlPr xmlns="http://schemas.microsoft.com/office/spreadsheetml/2009/9/main" objectType="Radio" firstButton="1" fmlaLink="$E$19"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Radio" checked="Checked" firstButton="1" fmlaLink="$K$19"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7.jpeg"/><Relationship Id="rId4" Type="http://schemas.openxmlformats.org/officeDocument/2006/relationships/image" Target="../media/image6.jpeg"/></Relationships>
</file>

<file path=xl/drawings/_rels/drawing8.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5.xml"/><Relationship Id="rId1" Type="http://schemas.openxmlformats.org/officeDocument/2006/relationships/image" Target="../media/image5.png"/><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10</xdr:col>
      <xdr:colOff>332495</xdr:colOff>
      <xdr:row>21</xdr:row>
      <xdr:rowOff>190001</xdr:rowOff>
    </xdr:to>
    <xdr:pic>
      <xdr:nvPicPr>
        <xdr:cNvPr id="2" name="Grafik 1">
          <a:extLst>
            <a:ext uri="{FF2B5EF4-FFF2-40B4-BE49-F238E27FC236}">
              <a16:creationId xmlns:a16="http://schemas.microsoft.com/office/drawing/2014/main" id="{39968F3A-A8B5-4772-857D-46E79D68B165}"/>
            </a:ext>
          </a:extLst>
        </xdr:cNvPr>
        <xdr:cNvPicPr>
          <a:picLocks noChangeAspect="1"/>
        </xdr:cNvPicPr>
      </xdr:nvPicPr>
      <xdr:blipFill>
        <a:blip xmlns:r="http://schemas.openxmlformats.org/officeDocument/2006/relationships" r:embed="rId1"/>
        <a:stretch>
          <a:fillRect/>
        </a:stretch>
      </xdr:blipFill>
      <xdr:spPr>
        <a:xfrm>
          <a:off x="1676400" y="400050"/>
          <a:ext cx="7038095" cy="3990476"/>
        </a:xfrm>
        <a:prstGeom prst="rect">
          <a:avLst/>
        </a:prstGeom>
      </xdr:spPr>
    </xdr:pic>
    <xdr:clientData/>
  </xdr:twoCellAnchor>
  <xdr:twoCellAnchor editAs="oneCell">
    <xdr:from>
      <xdr:col>2</xdr:col>
      <xdr:colOff>9525</xdr:colOff>
      <xdr:row>21</xdr:row>
      <xdr:rowOff>85725</xdr:rowOff>
    </xdr:from>
    <xdr:to>
      <xdr:col>10</xdr:col>
      <xdr:colOff>427734</xdr:colOff>
      <xdr:row>53</xdr:row>
      <xdr:rowOff>199211</xdr:rowOff>
    </xdr:to>
    <xdr:pic>
      <xdr:nvPicPr>
        <xdr:cNvPr id="3" name="Grafik 2">
          <a:extLst>
            <a:ext uri="{FF2B5EF4-FFF2-40B4-BE49-F238E27FC236}">
              <a16:creationId xmlns:a16="http://schemas.microsoft.com/office/drawing/2014/main" id="{F957CC0C-6006-4F79-A6A6-D4BD40189C8F}"/>
            </a:ext>
          </a:extLst>
        </xdr:cNvPr>
        <xdr:cNvPicPr>
          <a:picLocks noChangeAspect="1"/>
        </xdr:cNvPicPr>
      </xdr:nvPicPr>
      <xdr:blipFill>
        <a:blip xmlns:r="http://schemas.openxmlformats.org/officeDocument/2006/relationships" r:embed="rId2"/>
        <a:stretch>
          <a:fillRect/>
        </a:stretch>
      </xdr:blipFill>
      <xdr:spPr>
        <a:xfrm>
          <a:off x="1685925" y="4286250"/>
          <a:ext cx="7123809" cy="6514286"/>
        </a:xfrm>
        <a:prstGeom prst="rect">
          <a:avLst/>
        </a:prstGeom>
      </xdr:spPr>
    </xdr:pic>
    <xdr:clientData/>
  </xdr:twoCellAnchor>
  <xdr:twoCellAnchor editAs="oneCell">
    <xdr:from>
      <xdr:col>2</xdr:col>
      <xdr:colOff>0</xdr:colOff>
      <xdr:row>54</xdr:row>
      <xdr:rowOff>0</xdr:rowOff>
    </xdr:from>
    <xdr:to>
      <xdr:col>10</xdr:col>
      <xdr:colOff>218209</xdr:colOff>
      <xdr:row>74</xdr:row>
      <xdr:rowOff>113786</xdr:rowOff>
    </xdr:to>
    <xdr:pic>
      <xdr:nvPicPr>
        <xdr:cNvPr id="4" name="Grafik 3">
          <a:extLst>
            <a:ext uri="{FF2B5EF4-FFF2-40B4-BE49-F238E27FC236}">
              <a16:creationId xmlns:a16="http://schemas.microsoft.com/office/drawing/2014/main" id="{D8A6EC39-2ABF-4A08-8FD9-4C5504793E32}"/>
            </a:ext>
          </a:extLst>
        </xdr:cNvPr>
        <xdr:cNvPicPr>
          <a:picLocks noChangeAspect="1"/>
        </xdr:cNvPicPr>
      </xdr:nvPicPr>
      <xdr:blipFill>
        <a:blip xmlns:r="http://schemas.openxmlformats.org/officeDocument/2006/relationships" r:embed="rId3"/>
        <a:stretch>
          <a:fillRect/>
        </a:stretch>
      </xdr:blipFill>
      <xdr:spPr>
        <a:xfrm>
          <a:off x="1676400" y="10801350"/>
          <a:ext cx="6923809" cy="411428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6</xdr:col>
      <xdr:colOff>930503</xdr:colOff>
      <xdr:row>26</xdr:row>
      <xdr:rowOff>267717</xdr:rowOff>
    </xdr:from>
    <xdr:to>
      <xdr:col>15</xdr:col>
      <xdr:colOff>629465</xdr:colOff>
      <xdr:row>45</xdr:row>
      <xdr:rowOff>76259</xdr:rowOff>
    </xdr:to>
    <xdr:graphicFrame macro="">
      <xdr:nvGraphicFramePr>
        <xdr:cNvPr id="6" name="Chart 5">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991722</xdr:colOff>
      <xdr:row>14</xdr:row>
      <xdr:rowOff>264063</xdr:rowOff>
    </xdr:from>
    <xdr:to>
      <xdr:col>17</xdr:col>
      <xdr:colOff>99939</xdr:colOff>
      <xdr:row>26</xdr:row>
      <xdr:rowOff>80444</xdr:rowOff>
    </xdr:to>
    <xdr:pic>
      <xdr:nvPicPr>
        <xdr:cNvPr id="7" name="Picture 6" descr="Image">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043586" y="5451690"/>
          <a:ext cx="10731946" cy="3906212"/>
        </a:xfrm>
        <a:custGeom>
          <a:avLst/>
          <a:gdLst>
            <a:gd name="connsiteX0" fmla="*/ 0 w 10731946"/>
            <a:gd name="connsiteY0" fmla="*/ 0 h 3906212"/>
            <a:gd name="connsiteX1" fmla="*/ 810858 w 10731946"/>
            <a:gd name="connsiteY1" fmla="*/ 0 h 3906212"/>
            <a:gd name="connsiteX2" fmla="*/ 1621716 w 10731946"/>
            <a:gd name="connsiteY2" fmla="*/ 0 h 3906212"/>
            <a:gd name="connsiteX3" fmla="*/ 2217936 w 10731946"/>
            <a:gd name="connsiteY3" fmla="*/ 0 h 3906212"/>
            <a:gd name="connsiteX4" fmla="*/ 2921474 w 10731946"/>
            <a:gd name="connsiteY4" fmla="*/ 0 h 3906212"/>
            <a:gd name="connsiteX5" fmla="*/ 3517693 w 10731946"/>
            <a:gd name="connsiteY5" fmla="*/ 0 h 3906212"/>
            <a:gd name="connsiteX6" fmla="*/ 4113913 w 10731946"/>
            <a:gd name="connsiteY6" fmla="*/ 0 h 3906212"/>
            <a:gd name="connsiteX7" fmla="*/ 4710132 w 10731946"/>
            <a:gd name="connsiteY7" fmla="*/ 0 h 3906212"/>
            <a:gd name="connsiteX8" fmla="*/ 4984393 w 10731946"/>
            <a:gd name="connsiteY8" fmla="*/ 0 h 3906212"/>
            <a:gd name="connsiteX9" fmla="*/ 5687931 w 10731946"/>
            <a:gd name="connsiteY9" fmla="*/ 0 h 3906212"/>
            <a:gd name="connsiteX10" fmla="*/ 5962192 w 10731946"/>
            <a:gd name="connsiteY10" fmla="*/ 0 h 3906212"/>
            <a:gd name="connsiteX11" fmla="*/ 6558411 w 10731946"/>
            <a:gd name="connsiteY11" fmla="*/ 0 h 3906212"/>
            <a:gd name="connsiteX12" fmla="*/ 7369270 w 10731946"/>
            <a:gd name="connsiteY12" fmla="*/ 0 h 3906212"/>
            <a:gd name="connsiteX13" fmla="*/ 8180128 w 10731946"/>
            <a:gd name="connsiteY13" fmla="*/ 0 h 3906212"/>
            <a:gd name="connsiteX14" fmla="*/ 8883666 w 10731946"/>
            <a:gd name="connsiteY14" fmla="*/ 0 h 3906212"/>
            <a:gd name="connsiteX15" fmla="*/ 9372566 w 10731946"/>
            <a:gd name="connsiteY15" fmla="*/ 0 h 3906212"/>
            <a:gd name="connsiteX16" fmla="*/ 9646827 w 10731946"/>
            <a:gd name="connsiteY16" fmla="*/ 0 h 3906212"/>
            <a:gd name="connsiteX17" fmla="*/ 10135727 w 10731946"/>
            <a:gd name="connsiteY17" fmla="*/ 0 h 3906212"/>
            <a:gd name="connsiteX18" fmla="*/ 10731946 w 10731946"/>
            <a:gd name="connsiteY18" fmla="*/ 0 h 3906212"/>
            <a:gd name="connsiteX19" fmla="*/ 10731946 w 10731946"/>
            <a:gd name="connsiteY19" fmla="*/ 636155 h 3906212"/>
            <a:gd name="connsiteX20" fmla="*/ 10731946 w 10731946"/>
            <a:gd name="connsiteY20" fmla="*/ 1272309 h 3906212"/>
            <a:gd name="connsiteX21" fmla="*/ 10731946 w 10731946"/>
            <a:gd name="connsiteY21" fmla="*/ 1752215 h 3906212"/>
            <a:gd name="connsiteX22" fmla="*/ 10731946 w 10731946"/>
            <a:gd name="connsiteY22" fmla="*/ 2388370 h 3906212"/>
            <a:gd name="connsiteX23" fmla="*/ 10731946 w 10731946"/>
            <a:gd name="connsiteY23" fmla="*/ 2868276 h 3906212"/>
            <a:gd name="connsiteX24" fmla="*/ 10731946 w 10731946"/>
            <a:gd name="connsiteY24" fmla="*/ 3906212 h 3906212"/>
            <a:gd name="connsiteX25" fmla="*/ 9921088 w 10731946"/>
            <a:gd name="connsiteY25" fmla="*/ 3906212 h 3906212"/>
            <a:gd name="connsiteX26" fmla="*/ 9432188 w 10731946"/>
            <a:gd name="connsiteY26" fmla="*/ 3906212 h 3906212"/>
            <a:gd name="connsiteX27" fmla="*/ 8728649 w 10731946"/>
            <a:gd name="connsiteY27" fmla="*/ 3906212 h 3906212"/>
            <a:gd name="connsiteX28" fmla="*/ 8454389 w 10731946"/>
            <a:gd name="connsiteY28" fmla="*/ 3906212 h 3906212"/>
            <a:gd name="connsiteX29" fmla="*/ 7643530 w 10731946"/>
            <a:gd name="connsiteY29" fmla="*/ 3906212 h 3906212"/>
            <a:gd name="connsiteX30" fmla="*/ 7154631 w 10731946"/>
            <a:gd name="connsiteY30" fmla="*/ 3906212 h 3906212"/>
            <a:gd name="connsiteX31" fmla="*/ 6558411 w 10731946"/>
            <a:gd name="connsiteY31" fmla="*/ 3906212 h 3906212"/>
            <a:gd name="connsiteX32" fmla="*/ 6176831 w 10731946"/>
            <a:gd name="connsiteY32" fmla="*/ 3906212 h 3906212"/>
            <a:gd name="connsiteX33" fmla="*/ 5473292 w 10731946"/>
            <a:gd name="connsiteY33" fmla="*/ 3906212 h 3906212"/>
            <a:gd name="connsiteX34" fmla="*/ 4662434 w 10731946"/>
            <a:gd name="connsiteY34" fmla="*/ 3906212 h 3906212"/>
            <a:gd name="connsiteX35" fmla="*/ 4173535 w 10731946"/>
            <a:gd name="connsiteY35" fmla="*/ 3906212 h 3906212"/>
            <a:gd name="connsiteX36" fmla="*/ 3362676 w 10731946"/>
            <a:gd name="connsiteY36" fmla="*/ 3906212 h 3906212"/>
            <a:gd name="connsiteX37" fmla="*/ 2766457 w 10731946"/>
            <a:gd name="connsiteY37" fmla="*/ 3906212 h 3906212"/>
            <a:gd name="connsiteX38" fmla="*/ 1955599 w 10731946"/>
            <a:gd name="connsiteY38" fmla="*/ 3906212 h 3906212"/>
            <a:gd name="connsiteX39" fmla="*/ 1144741 w 10731946"/>
            <a:gd name="connsiteY39" fmla="*/ 3906212 h 3906212"/>
            <a:gd name="connsiteX40" fmla="*/ 763161 w 10731946"/>
            <a:gd name="connsiteY40" fmla="*/ 3906212 h 3906212"/>
            <a:gd name="connsiteX41" fmla="*/ 0 w 10731946"/>
            <a:gd name="connsiteY41" fmla="*/ 3906212 h 3906212"/>
            <a:gd name="connsiteX42" fmla="*/ 0 w 10731946"/>
            <a:gd name="connsiteY42" fmla="*/ 3348182 h 3906212"/>
            <a:gd name="connsiteX43" fmla="*/ 0 w 10731946"/>
            <a:gd name="connsiteY43" fmla="*/ 2712027 h 3906212"/>
            <a:gd name="connsiteX44" fmla="*/ 0 w 10731946"/>
            <a:gd name="connsiteY44" fmla="*/ 2271183 h 3906212"/>
            <a:gd name="connsiteX45" fmla="*/ 0 w 10731946"/>
            <a:gd name="connsiteY45" fmla="*/ 1830339 h 3906212"/>
            <a:gd name="connsiteX46" fmla="*/ 0 w 10731946"/>
            <a:gd name="connsiteY46" fmla="*/ 1194185 h 3906212"/>
            <a:gd name="connsiteX47" fmla="*/ 0 w 10731946"/>
            <a:gd name="connsiteY47" fmla="*/ 675217 h 3906212"/>
            <a:gd name="connsiteX48" fmla="*/ 0 w 10731946"/>
            <a:gd name="connsiteY48" fmla="*/ 0 h 390621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Lst>
          <a:rect l="l" t="t" r="r" b="b"/>
          <a:pathLst>
            <a:path w="10731946" h="3906212" fill="none" extrusionOk="0">
              <a:moveTo>
                <a:pt x="0" y="0"/>
              </a:moveTo>
              <a:cubicBezTo>
                <a:pt x="355712" y="-51603"/>
                <a:pt x="420217" y="82419"/>
                <a:pt x="810858" y="0"/>
              </a:cubicBezTo>
              <a:cubicBezTo>
                <a:pt x="1201499" y="-82419"/>
                <a:pt x="1341346" y="51428"/>
                <a:pt x="1621716" y="0"/>
              </a:cubicBezTo>
              <a:cubicBezTo>
                <a:pt x="1902086" y="-51428"/>
                <a:pt x="2002229" y="47341"/>
                <a:pt x="2217936" y="0"/>
              </a:cubicBezTo>
              <a:cubicBezTo>
                <a:pt x="2433643" y="-47341"/>
                <a:pt x="2602370" y="33793"/>
                <a:pt x="2921474" y="0"/>
              </a:cubicBezTo>
              <a:cubicBezTo>
                <a:pt x="3240578" y="-33793"/>
                <a:pt x="3299051" y="39646"/>
                <a:pt x="3517693" y="0"/>
              </a:cubicBezTo>
              <a:cubicBezTo>
                <a:pt x="3736335" y="-39646"/>
                <a:pt x="3819470" y="54023"/>
                <a:pt x="4113913" y="0"/>
              </a:cubicBezTo>
              <a:cubicBezTo>
                <a:pt x="4408356" y="-54023"/>
                <a:pt x="4453032" y="33445"/>
                <a:pt x="4710132" y="0"/>
              </a:cubicBezTo>
              <a:cubicBezTo>
                <a:pt x="4967232" y="-33445"/>
                <a:pt x="4902825" y="25381"/>
                <a:pt x="4984393" y="0"/>
              </a:cubicBezTo>
              <a:cubicBezTo>
                <a:pt x="5065961" y="-25381"/>
                <a:pt x="5510776" y="34811"/>
                <a:pt x="5687931" y="0"/>
              </a:cubicBezTo>
              <a:cubicBezTo>
                <a:pt x="5865086" y="-34811"/>
                <a:pt x="5831271" y="24754"/>
                <a:pt x="5962192" y="0"/>
              </a:cubicBezTo>
              <a:cubicBezTo>
                <a:pt x="6093113" y="-24754"/>
                <a:pt x="6372059" y="47860"/>
                <a:pt x="6558411" y="0"/>
              </a:cubicBezTo>
              <a:cubicBezTo>
                <a:pt x="6744763" y="-47860"/>
                <a:pt x="7134266" y="79669"/>
                <a:pt x="7369270" y="0"/>
              </a:cubicBezTo>
              <a:cubicBezTo>
                <a:pt x="7604274" y="-79669"/>
                <a:pt x="7997859" y="738"/>
                <a:pt x="8180128" y="0"/>
              </a:cubicBezTo>
              <a:cubicBezTo>
                <a:pt x="8362397" y="-738"/>
                <a:pt x="8564948" y="42681"/>
                <a:pt x="8883666" y="0"/>
              </a:cubicBezTo>
              <a:cubicBezTo>
                <a:pt x="9202384" y="-42681"/>
                <a:pt x="9234162" y="52915"/>
                <a:pt x="9372566" y="0"/>
              </a:cubicBezTo>
              <a:cubicBezTo>
                <a:pt x="9510970" y="-52915"/>
                <a:pt x="9523602" y="3136"/>
                <a:pt x="9646827" y="0"/>
              </a:cubicBezTo>
              <a:cubicBezTo>
                <a:pt x="9770052" y="-3136"/>
                <a:pt x="9988272" y="37137"/>
                <a:pt x="10135727" y="0"/>
              </a:cubicBezTo>
              <a:cubicBezTo>
                <a:pt x="10283182" y="-37137"/>
                <a:pt x="10481016" y="38095"/>
                <a:pt x="10731946" y="0"/>
              </a:cubicBezTo>
              <a:cubicBezTo>
                <a:pt x="10763695" y="189005"/>
                <a:pt x="10663345" y="350610"/>
                <a:pt x="10731946" y="636155"/>
              </a:cubicBezTo>
              <a:cubicBezTo>
                <a:pt x="10800547" y="921701"/>
                <a:pt x="10696848" y="1049985"/>
                <a:pt x="10731946" y="1272309"/>
              </a:cubicBezTo>
              <a:cubicBezTo>
                <a:pt x="10767044" y="1494633"/>
                <a:pt x="10715544" y="1558361"/>
                <a:pt x="10731946" y="1752215"/>
              </a:cubicBezTo>
              <a:cubicBezTo>
                <a:pt x="10748348" y="1946069"/>
                <a:pt x="10703138" y="2114458"/>
                <a:pt x="10731946" y="2388370"/>
              </a:cubicBezTo>
              <a:cubicBezTo>
                <a:pt x="10760754" y="2662282"/>
                <a:pt x="10689764" y="2715889"/>
                <a:pt x="10731946" y="2868276"/>
              </a:cubicBezTo>
              <a:cubicBezTo>
                <a:pt x="10774128" y="3020663"/>
                <a:pt x="10645550" y="3514870"/>
                <a:pt x="10731946" y="3906212"/>
              </a:cubicBezTo>
              <a:cubicBezTo>
                <a:pt x="10430278" y="3936627"/>
                <a:pt x="10298680" y="3828154"/>
                <a:pt x="9921088" y="3906212"/>
              </a:cubicBezTo>
              <a:cubicBezTo>
                <a:pt x="9543496" y="3984270"/>
                <a:pt x="9601354" y="3899995"/>
                <a:pt x="9432188" y="3906212"/>
              </a:cubicBezTo>
              <a:cubicBezTo>
                <a:pt x="9263022" y="3912429"/>
                <a:pt x="9048260" y="3861862"/>
                <a:pt x="8728649" y="3906212"/>
              </a:cubicBezTo>
              <a:cubicBezTo>
                <a:pt x="8409038" y="3950562"/>
                <a:pt x="8582900" y="3883261"/>
                <a:pt x="8454389" y="3906212"/>
              </a:cubicBezTo>
              <a:cubicBezTo>
                <a:pt x="8325878" y="3929163"/>
                <a:pt x="7938371" y="3882027"/>
                <a:pt x="7643530" y="3906212"/>
              </a:cubicBezTo>
              <a:cubicBezTo>
                <a:pt x="7348689" y="3930397"/>
                <a:pt x="7272035" y="3897975"/>
                <a:pt x="7154631" y="3906212"/>
              </a:cubicBezTo>
              <a:cubicBezTo>
                <a:pt x="7037227" y="3914449"/>
                <a:pt x="6777898" y="3836535"/>
                <a:pt x="6558411" y="3906212"/>
              </a:cubicBezTo>
              <a:cubicBezTo>
                <a:pt x="6338924" y="3975889"/>
                <a:pt x="6298784" y="3885056"/>
                <a:pt x="6176831" y="3906212"/>
              </a:cubicBezTo>
              <a:cubicBezTo>
                <a:pt x="6054878" y="3927368"/>
                <a:pt x="5813192" y="3894869"/>
                <a:pt x="5473292" y="3906212"/>
              </a:cubicBezTo>
              <a:cubicBezTo>
                <a:pt x="5133392" y="3917555"/>
                <a:pt x="5031570" y="3845264"/>
                <a:pt x="4662434" y="3906212"/>
              </a:cubicBezTo>
              <a:cubicBezTo>
                <a:pt x="4293298" y="3967160"/>
                <a:pt x="4358370" y="3897735"/>
                <a:pt x="4173535" y="3906212"/>
              </a:cubicBezTo>
              <a:cubicBezTo>
                <a:pt x="3988700" y="3914689"/>
                <a:pt x="3763836" y="3831339"/>
                <a:pt x="3362676" y="3906212"/>
              </a:cubicBezTo>
              <a:cubicBezTo>
                <a:pt x="2961516" y="3981085"/>
                <a:pt x="3045351" y="3884954"/>
                <a:pt x="2766457" y="3906212"/>
              </a:cubicBezTo>
              <a:cubicBezTo>
                <a:pt x="2487563" y="3927470"/>
                <a:pt x="2282501" y="3878406"/>
                <a:pt x="1955599" y="3906212"/>
              </a:cubicBezTo>
              <a:cubicBezTo>
                <a:pt x="1628697" y="3934018"/>
                <a:pt x="1503284" y="3846439"/>
                <a:pt x="1144741" y="3906212"/>
              </a:cubicBezTo>
              <a:cubicBezTo>
                <a:pt x="786198" y="3965985"/>
                <a:pt x="941937" y="3873193"/>
                <a:pt x="763161" y="3906212"/>
              </a:cubicBezTo>
              <a:cubicBezTo>
                <a:pt x="584385" y="3939231"/>
                <a:pt x="201165" y="3825094"/>
                <a:pt x="0" y="3906212"/>
              </a:cubicBezTo>
              <a:cubicBezTo>
                <a:pt x="-35073" y="3679699"/>
                <a:pt x="25438" y="3590052"/>
                <a:pt x="0" y="3348182"/>
              </a:cubicBezTo>
              <a:cubicBezTo>
                <a:pt x="-25438" y="3106312"/>
                <a:pt x="56555" y="2901384"/>
                <a:pt x="0" y="2712027"/>
              </a:cubicBezTo>
              <a:cubicBezTo>
                <a:pt x="-56555" y="2522671"/>
                <a:pt x="13289" y="2381256"/>
                <a:pt x="0" y="2271183"/>
              </a:cubicBezTo>
              <a:cubicBezTo>
                <a:pt x="-13289" y="2161110"/>
                <a:pt x="24909" y="2039408"/>
                <a:pt x="0" y="1830339"/>
              </a:cubicBezTo>
              <a:cubicBezTo>
                <a:pt x="-24909" y="1621270"/>
                <a:pt x="30394" y="1425948"/>
                <a:pt x="0" y="1194185"/>
              </a:cubicBezTo>
              <a:cubicBezTo>
                <a:pt x="-30394" y="962422"/>
                <a:pt x="47623" y="792635"/>
                <a:pt x="0" y="675217"/>
              </a:cubicBezTo>
              <a:cubicBezTo>
                <a:pt x="-47623" y="557799"/>
                <a:pt x="8501" y="257702"/>
                <a:pt x="0" y="0"/>
              </a:cubicBezTo>
              <a:close/>
            </a:path>
            <a:path w="10731946" h="3906212" stroke="0" extrusionOk="0">
              <a:moveTo>
                <a:pt x="0" y="0"/>
              </a:moveTo>
              <a:cubicBezTo>
                <a:pt x="116228" y="-33757"/>
                <a:pt x="369319" y="2231"/>
                <a:pt x="488900" y="0"/>
              </a:cubicBezTo>
              <a:cubicBezTo>
                <a:pt x="608481" y="-2231"/>
                <a:pt x="660245" y="28404"/>
                <a:pt x="763161" y="0"/>
              </a:cubicBezTo>
              <a:cubicBezTo>
                <a:pt x="866077" y="-28404"/>
                <a:pt x="1302137" y="60147"/>
                <a:pt x="1574019" y="0"/>
              </a:cubicBezTo>
              <a:cubicBezTo>
                <a:pt x="1845901" y="-60147"/>
                <a:pt x="1885722" y="12237"/>
                <a:pt x="2062919" y="0"/>
              </a:cubicBezTo>
              <a:cubicBezTo>
                <a:pt x="2240116" y="-12237"/>
                <a:pt x="2416804" y="12850"/>
                <a:pt x="2551818" y="0"/>
              </a:cubicBezTo>
              <a:cubicBezTo>
                <a:pt x="2686832" y="-12850"/>
                <a:pt x="3050511" y="1033"/>
                <a:pt x="3362676" y="0"/>
              </a:cubicBezTo>
              <a:cubicBezTo>
                <a:pt x="3674841" y="-1033"/>
                <a:pt x="3649713" y="43271"/>
                <a:pt x="3744257" y="0"/>
              </a:cubicBezTo>
              <a:cubicBezTo>
                <a:pt x="3838801" y="-43271"/>
                <a:pt x="4321637" y="11197"/>
                <a:pt x="4555115" y="0"/>
              </a:cubicBezTo>
              <a:cubicBezTo>
                <a:pt x="4788593" y="-11197"/>
                <a:pt x="4964662" y="37868"/>
                <a:pt x="5365973" y="0"/>
              </a:cubicBezTo>
              <a:cubicBezTo>
                <a:pt x="5767284" y="-37868"/>
                <a:pt x="5694449" y="12253"/>
                <a:pt x="5962192" y="0"/>
              </a:cubicBezTo>
              <a:cubicBezTo>
                <a:pt x="6229935" y="-12253"/>
                <a:pt x="6413237" y="45873"/>
                <a:pt x="6773050" y="0"/>
              </a:cubicBezTo>
              <a:cubicBezTo>
                <a:pt x="7132863" y="-45873"/>
                <a:pt x="7042577" y="57478"/>
                <a:pt x="7261950" y="0"/>
              </a:cubicBezTo>
              <a:cubicBezTo>
                <a:pt x="7481323" y="-57478"/>
                <a:pt x="7638338" y="7242"/>
                <a:pt x="7750850" y="0"/>
              </a:cubicBezTo>
              <a:cubicBezTo>
                <a:pt x="7863362" y="-7242"/>
                <a:pt x="8302782" y="51449"/>
                <a:pt x="8454389" y="0"/>
              </a:cubicBezTo>
              <a:cubicBezTo>
                <a:pt x="8605996" y="-51449"/>
                <a:pt x="8811009" y="26686"/>
                <a:pt x="8943288" y="0"/>
              </a:cubicBezTo>
              <a:cubicBezTo>
                <a:pt x="9075567" y="-26686"/>
                <a:pt x="9399347" y="49039"/>
                <a:pt x="9754146" y="0"/>
              </a:cubicBezTo>
              <a:cubicBezTo>
                <a:pt x="10108945" y="-49039"/>
                <a:pt x="10510611" y="115960"/>
                <a:pt x="10731946" y="0"/>
              </a:cubicBezTo>
              <a:cubicBezTo>
                <a:pt x="10787726" y="225925"/>
                <a:pt x="10698127" y="445075"/>
                <a:pt x="10731946" y="558030"/>
              </a:cubicBezTo>
              <a:cubicBezTo>
                <a:pt x="10765765" y="670985"/>
                <a:pt x="10725420" y="960630"/>
                <a:pt x="10731946" y="1155123"/>
              </a:cubicBezTo>
              <a:cubicBezTo>
                <a:pt x="10738472" y="1349616"/>
                <a:pt x="10713237" y="1450310"/>
                <a:pt x="10731946" y="1595967"/>
              </a:cubicBezTo>
              <a:cubicBezTo>
                <a:pt x="10750655" y="1741624"/>
                <a:pt x="10701671" y="1936815"/>
                <a:pt x="10731946" y="2075873"/>
              </a:cubicBezTo>
              <a:cubicBezTo>
                <a:pt x="10762221" y="2214931"/>
                <a:pt x="10673536" y="2419879"/>
                <a:pt x="10731946" y="2672965"/>
              </a:cubicBezTo>
              <a:cubicBezTo>
                <a:pt x="10790356" y="2926051"/>
                <a:pt x="10694130" y="3060209"/>
                <a:pt x="10731946" y="3191933"/>
              </a:cubicBezTo>
              <a:cubicBezTo>
                <a:pt x="10769762" y="3323657"/>
                <a:pt x="10670700" y="3634263"/>
                <a:pt x="10731946" y="3906212"/>
              </a:cubicBezTo>
              <a:cubicBezTo>
                <a:pt x="10509422" y="3936641"/>
                <a:pt x="10279092" y="3848060"/>
                <a:pt x="10028407" y="3906212"/>
              </a:cubicBezTo>
              <a:cubicBezTo>
                <a:pt x="9777722" y="3964364"/>
                <a:pt x="9876434" y="3902708"/>
                <a:pt x="9754146" y="3906212"/>
              </a:cubicBezTo>
              <a:cubicBezTo>
                <a:pt x="9631858" y="3909716"/>
                <a:pt x="9312012" y="3840153"/>
                <a:pt x="9157927" y="3906212"/>
              </a:cubicBezTo>
              <a:cubicBezTo>
                <a:pt x="9003842" y="3972271"/>
                <a:pt x="8942273" y="3886831"/>
                <a:pt x="8776347" y="3906212"/>
              </a:cubicBezTo>
              <a:cubicBezTo>
                <a:pt x="8610421" y="3925593"/>
                <a:pt x="8396373" y="3850446"/>
                <a:pt x="8072808" y="3906212"/>
              </a:cubicBezTo>
              <a:cubicBezTo>
                <a:pt x="7749243" y="3961978"/>
                <a:pt x="7802037" y="3903778"/>
                <a:pt x="7691228" y="3906212"/>
              </a:cubicBezTo>
              <a:cubicBezTo>
                <a:pt x="7580419" y="3908646"/>
                <a:pt x="7158604" y="3888406"/>
                <a:pt x="6987689" y="3906212"/>
              </a:cubicBezTo>
              <a:cubicBezTo>
                <a:pt x="6816774" y="3924018"/>
                <a:pt x="6849576" y="3898173"/>
                <a:pt x="6713428" y="3906212"/>
              </a:cubicBezTo>
              <a:cubicBezTo>
                <a:pt x="6577280" y="3914251"/>
                <a:pt x="6317462" y="3905552"/>
                <a:pt x="6009890" y="3906212"/>
              </a:cubicBezTo>
              <a:cubicBezTo>
                <a:pt x="5702318" y="3906872"/>
                <a:pt x="5759529" y="3877777"/>
                <a:pt x="5628309" y="3906212"/>
              </a:cubicBezTo>
              <a:cubicBezTo>
                <a:pt x="5497089" y="3934647"/>
                <a:pt x="5414332" y="3892133"/>
                <a:pt x="5354049" y="3906212"/>
              </a:cubicBezTo>
              <a:cubicBezTo>
                <a:pt x="5293766" y="3920291"/>
                <a:pt x="5052535" y="3874263"/>
                <a:pt x="4972468" y="3906212"/>
              </a:cubicBezTo>
              <a:cubicBezTo>
                <a:pt x="4892401" y="3938161"/>
                <a:pt x="4610217" y="3830047"/>
                <a:pt x="4268930" y="3906212"/>
              </a:cubicBezTo>
              <a:cubicBezTo>
                <a:pt x="3927643" y="3982377"/>
                <a:pt x="3970487" y="3899934"/>
                <a:pt x="3887349" y="3906212"/>
              </a:cubicBezTo>
              <a:cubicBezTo>
                <a:pt x="3804211" y="3912490"/>
                <a:pt x="3671341" y="3880205"/>
                <a:pt x="3613088" y="3906212"/>
              </a:cubicBezTo>
              <a:cubicBezTo>
                <a:pt x="3554835" y="3932219"/>
                <a:pt x="3409563" y="3879424"/>
                <a:pt x="3231508" y="3906212"/>
              </a:cubicBezTo>
              <a:cubicBezTo>
                <a:pt x="3053453" y="3933000"/>
                <a:pt x="2854400" y="3901018"/>
                <a:pt x="2742608" y="3906212"/>
              </a:cubicBezTo>
              <a:cubicBezTo>
                <a:pt x="2630816" y="3911406"/>
                <a:pt x="2288534" y="3860829"/>
                <a:pt x="2146389" y="3906212"/>
              </a:cubicBezTo>
              <a:cubicBezTo>
                <a:pt x="2004244" y="3951595"/>
                <a:pt x="1930331" y="3903653"/>
                <a:pt x="1764809" y="3906212"/>
              </a:cubicBezTo>
              <a:cubicBezTo>
                <a:pt x="1599287" y="3908771"/>
                <a:pt x="1267595" y="3845223"/>
                <a:pt x="953951" y="3906212"/>
              </a:cubicBezTo>
              <a:cubicBezTo>
                <a:pt x="640307" y="3967201"/>
                <a:pt x="468571" y="3823145"/>
                <a:pt x="0" y="3906212"/>
              </a:cubicBezTo>
              <a:cubicBezTo>
                <a:pt x="-57122" y="3766283"/>
                <a:pt x="12297" y="3406365"/>
                <a:pt x="0" y="3270057"/>
              </a:cubicBezTo>
              <a:cubicBezTo>
                <a:pt x="-12297" y="3133750"/>
                <a:pt x="23839" y="2835474"/>
                <a:pt x="0" y="2712027"/>
              </a:cubicBezTo>
              <a:cubicBezTo>
                <a:pt x="-23839" y="2588580"/>
                <a:pt x="44311" y="2284300"/>
                <a:pt x="0" y="2153997"/>
              </a:cubicBezTo>
              <a:cubicBezTo>
                <a:pt x="-44311" y="2023694"/>
                <a:pt x="23843" y="1868590"/>
                <a:pt x="0" y="1635029"/>
              </a:cubicBezTo>
              <a:cubicBezTo>
                <a:pt x="-23843" y="1401468"/>
                <a:pt x="64020" y="1309543"/>
                <a:pt x="0" y="1037936"/>
              </a:cubicBezTo>
              <a:cubicBezTo>
                <a:pt x="-64020" y="766329"/>
                <a:pt x="6544" y="649979"/>
                <a:pt x="0" y="479906"/>
              </a:cubicBezTo>
              <a:cubicBezTo>
                <a:pt x="-6544" y="309833"/>
                <a:pt x="54920" y="237666"/>
                <a:pt x="0" y="0"/>
              </a:cubicBezTo>
              <a:close/>
            </a:path>
          </a:pathLst>
        </a:custGeom>
        <a:solidFill>
          <a:srgbClr val="FFFF00"/>
        </a:solidFill>
        <a:ln w="38100">
          <a:solidFill>
            <a:schemeClr val="tx1"/>
          </a:solidFill>
          <a:extLst>
            <a:ext uri="{C807C97D-BFC1-408E-A445-0C87EB9F89A2}">
              <ask:lineSketchStyleProps xmlns:ask="http://schemas.microsoft.com/office/drawing/2018/sketchyshapes" xmlns="" sd="1219033472">
                <a:prstGeom prst="rect">
                  <a:avLst/>
                </a:prstGeom>
                <ask:type>
                  <ask:lineSketchScribble/>
                </ask:type>
              </ask:lineSketchStyleProps>
            </a:ext>
          </a:extLst>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88</xdr:col>
      <xdr:colOff>590550</xdr:colOff>
      <xdr:row>9</xdr:row>
      <xdr:rowOff>95250</xdr:rowOff>
    </xdr:from>
    <xdr:to>
      <xdr:col>97</xdr:col>
      <xdr:colOff>431800</xdr:colOff>
      <xdr:row>32</xdr:row>
      <xdr:rowOff>38100</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5</xdr:row>
      <xdr:rowOff>199774</xdr:rowOff>
    </xdr:from>
    <xdr:to>
      <xdr:col>15</xdr:col>
      <xdr:colOff>185505</xdr:colOff>
      <xdr:row>14</xdr:row>
      <xdr:rowOff>214044</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072135" y="2183257"/>
          <a:ext cx="7634269" cy="3538877"/>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2400" b="1"/>
            <a:t>Versions</a:t>
          </a:r>
        </a:p>
        <a:p>
          <a:pPr algn="l"/>
          <a:r>
            <a:rPr lang="en-GB" sz="2400"/>
            <a:t>6.01: 3/4/23</a:t>
          </a:r>
        </a:p>
        <a:p>
          <a:pPr algn="l"/>
          <a:r>
            <a:rPr lang="en-GB" sz="2400"/>
            <a:t>Corrected</a:t>
          </a:r>
          <a:r>
            <a:rPr lang="en-GB" sz="2400" baseline="0"/>
            <a:t> Calaulation of Total Electricity cost in Tab 6</a:t>
          </a:r>
          <a:endParaRPr lang="en-GB" sz="24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26</xdr:row>
          <xdr:rowOff>9525</xdr:rowOff>
        </xdr:from>
        <xdr:to>
          <xdr:col>7</xdr:col>
          <xdr:colOff>142875</xdr:colOff>
          <xdr:row>30</xdr:row>
          <xdr:rowOff>9525</xdr:rowOff>
        </xdr:to>
        <xdr:sp macro="" textlink="">
          <xdr:nvSpPr>
            <xdr:cNvPr id="4102" name="Group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de-DE" sz="1300" b="0" i="0" u="none" strike="noStrike" baseline="0">
                  <a:solidFill>
                    <a:srgbClr val="000000"/>
                  </a:solidFill>
                  <a:latin typeface="Lucida Grande"/>
                </a:rPr>
                <a:t>Overnight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26</xdr:row>
          <xdr:rowOff>238125</xdr:rowOff>
        </xdr:from>
        <xdr:to>
          <xdr:col>7</xdr:col>
          <xdr:colOff>0</xdr:colOff>
          <xdr:row>28</xdr:row>
          <xdr:rowOff>9525</xdr:rowOff>
        </xdr:to>
        <xdr:sp macro="" textlink="">
          <xdr:nvSpPr>
            <xdr:cNvPr id="4104" name="Option Button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27</xdr:row>
          <xdr:rowOff>200025</xdr:rowOff>
        </xdr:from>
        <xdr:to>
          <xdr:col>7</xdr:col>
          <xdr:colOff>0</xdr:colOff>
          <xdr:row>28</xdr:row>
          <xdr:rowOff>276225</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28</xdr:row>
          <xdr:rowOff>200025</xdr:rowOff>
        </xdr:from>
        <xdr:to>
          <xdr:col>7</xdr:col>
          <xdr:colOff>0</xdr:colOff>
          <xdr:row>29</xdr:row>
          <xdr:rowOff>276225</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26</xdr:row>
          <xdr:rowOff>0</xdr:rowOff>
        </xdr:from>
        <xdr:to>
          <xdr:col>13</xdr:col>
          <xdr:colOff>228600</xdr:colOff>
          <xdr:row>30</xdr:row>
          <xdr:rowOff>66675</xdr:rowOff>
        </xdr:to>
        <xdr:sp macro="" textlink="">
          <xdr:nvSpPr>
            <xdr:cNvPr id="4109" name="Group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de-DE" sz="1300" b="0" i="0" u="none" strike="noStrike" baseline="0">
                  <a:solidFill>
                    <a:srgbClr val="000000"/>
                  </a:solidFill>
                  <a:latin typeface="Lucida Grande"/>
                </a:rPr>
                <a:t>Morning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26</xdr:row>
          <xdr:rowOff>228600</xdr:rowOff>
        </xdr:from>
        <xdr:to>
          <xdr:col>13</xdr:col>
          <xdr:colOff>76200</xdr:colOff>
          <xdr:row>28</xdr:row>
          <xdr:rowOff>0</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27</xdr:row>
          <xdr:rowOff>228600</xdr:rowOff>
        </xdr:from>
        <xdr:to>
          <xdr:col>13</xdr:col>
          <xdr:colOff>76200</xdr:colOff>
          <xdr:row>29</xdr:row>
          <xdr:rowOff>0</xdr:rowOff>
        </xdr:to>
        <xdr:sp macro="" textlink="">
          <xdr:nvSpPr>
            <xdr:cNvPr id="4111" name="Option Button 15" hidden="1">
              <a:extLst>
                <a:ext uri="{63B3BB69-23CF-44E3-9099-C40C66FF867C}">
                  <a14:compatExt spid="_x0000_s4111"/>
                </a:ext>
                <a:ext uri="{FF2B5EF4-FFF2-40B4-BE49-F238E27FC236}">
                  <a16:creationId xmlns:a16="http://schemas.microsoft.com/office/drawing/2014/main" id="{00000000-0008-0000-01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28</xdr:row>
          <xdr:rowOff>228600</xdr:rowOff>
        </xdr:from>
        <xdr:to>
          <xdr:col>13</xdr:col>
          <xdr:colOff>76200</xdr:colOff>
          <xdr:row>30</xdr:row>
          <xdr:rowOff>0</xdr:rowOff>
        </xdr:to>
        <xdr:sp macro="" textlink="">
          <xdr:nvSpPr>
            <xdr:cNvPr id="4112" name="Option Button 16" hidden="1">
              <a:extLst>
                <a:ext uri="{63B3BB69-23CF-44E3-9099-C40C66FF867C}">
                  <a14:compatExt spid="_x0000_s4112"/>
                </a:ext>
                <a:ext uri="{FF2B5EF4-FFF2-40B4-BE49-F238E27FC236}">
                  <a16:creationId xmlns:a16="http://schemas.microsoft.com/office/drawing/2014/main" id="{00000000-0008-0000-01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66675</xdr:colOff>
          <xdr:row>26</xdr:row>
          <xdr:rowOff>9525</xdr:rowOff>
        </xdr:from>
        <xdr:to>
          <xdr:col>18</xdr:col>
          <xdr:colOff>180975</xdr:colOff>
          <xdr:row>30</xdr:row>
          <xdr:rowOff>76200</xdr:rowOff>
        </xdr:to>
        <xdr:sp macro="" textlink="">
          <xdr:nvSpPr>
            <xdr:cNvPr id="4113" name="Group Box 17" hidden="1">
              <a:extLst>
                <a:ext uri="{63B3BB69-23CF-44E3-9099-C40C66FF867C}">
                  <a14:compatExt spid="_x0000_s4113"/>
                </a:ext>
                <a:ext uri="{FF2B5EF4-FFF2-40B4-BE49-F238E27FC236}">
                  <a16:creationId xmlns:a16="http://schemas.microsoft.com/office/drawing/2014/main" id="{00000000-0008-0000-0100-00001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de-DE" sz="1300" b="0" i="0" u="none" strike="noStrike" baseline="0">
                  <a:solidFill>
                    <a:srgbClr val="000000"/>
                  </a:solidFill>
                  <a:latin typeface="Lucida Grande"/>
                </a:rPr>
                <a:t>Day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26</xdr:row>
          <xdr:rowOff>238125</xdr:rowOff>
        </xdr:from>
        <xdr:to>
          <xdr:col>18</xdr:col>
          <xdr:colOff>0</xdr:colOff>
          <xdr:row>28</xdr:row>
          <xdr:rowOff>9525</xdr:rowOff>
        </xdr:to>
        <xdr:sp macro="" textlink="">
          <xdr:nvSpPr>
            <xdr:cNvPr id="4114" name="Option Button 18" hidden="1">
              <a:extLst>
                <a:ext uri="{63B3BB69-23CF-44E3-9099-C40C66FF867C}">
                  <a14:compatExt spid="_x0000_s4114"/>
                </a:ext>
                <a:ext uri="{FF2B5EF4-FFF2-40B4-BE49-F238E27FC236}">
                  <a16:creationId xmlns:a16="http://schemas.microsoft.com/office/drawing/2014/main" id="{00000000-0008-0000-01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27</xdr:row>
          <xdr:rowOff>200025</xdr:rowOff>
        </xdr:from>
        <xdr:to>
          <xdr:col>18</xdr:col>
          <xdr:colOff>0</xdr:colOff>
          <xdr:row>28</xdr:row>
          <xdr:rowOff>276225</xdr:rowOff>
        </xdr:to>
        <xdr:sp macro="" textlink="">
          <xdr:nvSpPr>
            <xdr:cNvPr id="4115" name="Option Button 19" hidden="1">
              <a:extLst>
                <a:ext uri="{63B3BB69-23CF-44E3-9099-C40C66FF867C}">
                  <a14:compatExt spid="_x0000_s4115"/>
                </a:ext>
                <a:ext uri="{FF2B5EF4-FFF2-40B4-BE49-F238E27FC236}">
                  <a16:creationId xmlns:a16="http://schemas.microsoft.com/office/drawing/2014/main" id="{00000000-0008-0000-01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28</xdr:row>
          <xdr:rowOff>219075</xdr:rowOff>
        </xdr:from>
        <xdr:to>
          <xdr:col>18</xdr:col>
          <xdr:colOff>0</xdr:colOff>
          <xdr:row>29</xdr:row>
          <xdr:rowOff>295275</xdr:rowOff>
        </xdr:to>
        <xdr:sp macro="" textlink="">
          <xdr:nvSpPr>
            <xdr:cNvPr id="4116" name="Option Button 20" hidden="1">
              <a:extLst>
                <a:ext uri="{63B3BB69-23CF-44E3-9099-C40C66FF867C}">
                  <a14:compatExt spid="_x0000_s4116"/>
                </a:ext>
                <a:ext uri="{FF2B5EF4-FFF2-40B4-BE49-F238E27FC236}">
                  <a16:creationId xmlns:a16="http://schemas.microsoft.com/office/drawing/2014/main" id="{00000000-0008-0000-01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26</xdr:row>
          <xdr:rowOff>76200</xdr:rowOff>
        </xdr:from>
        <xdr:to>
          <xdr:col>25</xdr:col>
          <xdr:colOff>123825</xdr:colOff>
          <xdr:row>30</xdr:row>
          <xdr:rowOff>142875</xdr:rowOff>
        </xdr:to>
        <xdr:sp macro="" textlink="">
          <xdr:nvSpPr>
            <xdr:cNvPr id="4117" name="Group Box 21" hidden="1">
              <a:extLst>
                <a:ext uri="{63B3BB69-23CF-44E3-9099-C40C66FF867C}">
                  <a14:compatExt spid="_x0000_s4117"/>
                </a:ext>
                <a:ext uri="{FF2B5EF4-FFF2-40B4-BE49-F238E27FC236}">
                  <a16:creationId xmlns:a16="http://schemas.microsoft.com/office/drawing/2014/main" id="{00000000-0008-0000-0100-00001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de-DE" sz="1300" b="0" i="0" u="none" strike="noStrike" baseline="0">
                  <a:solidFill>
                    <a:srgbClr val="000000"/>
                  </a:solidFill>
                  <a:latin typeface="Lucida Grande"/>
                </a:rPr>
                <a:t>Evening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26</xdr:row>
          <xdr:rowOff>200025</xdr:rowOff>
        </xdr:from>
        <xdr:to>
          <xdr:col>24</xdr:col>
          <xdr:colOff>561975</xdr:colOff>
          <xdr:row>27</xdr:row>
          <xdr:rowOff>276225</xdr:rowOff>
        </xdr:to>
        <xdr:sp macro="" textlink="">
          <xdr:nvSpPr>
            <xdr:cNvPr id="4118" name="Option Button 22" hidden="1">
              <a:extLst>
                <a:ext uri="{63B3BB69-23CF-44E3-9099-C40C66FF867C}">
                  <a14:compatExt spid="_x0000_s4118"/>
                </a:ext>
                <a:ext uri="{FF2B5EF4-FFF2-40B4-BE49-F238E27FC236}">
                  <a16:creationId xmlns:a16="http://schemas.microsoft.com/office/drawing/2014/main" id="{00000000-0008-0000-01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27</xdr:row>
          <xdr:rowOff>200025</xdr:rowOff>
        </xdr:from>
        <xdr:to>
          <xdr:col>24</xdr:col>
          <xdr:colOff>561975</xdr:colOff>
          <xdr:row>28</xdr:row>
          <xdr:rowOff>276225</xdr:rowOff>
        </xdr:to>
        <xdr:sp macro="" textlink="">
          <xdr:nvSpPr>
            <xdr:cNvPr id="4119" name="Option Button 23" hidden="1">
              <a:extLst>
                <a:ext uri="{63B3BB69-23CF-44E3-9099-C40C66FF867C}">
                  <a14:compatExt spid="_x0000_s4119"/>
                </a:ext>
                <a:ext uri="{FF2B5EF4-FFF2-40B4-BE49-F238E27FC236}">
                  <a16:creationId xmlns:a16="http://schemas.microsoft.com/office/drawing/2014/main" id="{00000000-0008-0000-01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28</xdr:row>
          <xdr:rowOff>219075</xdr:rowOff>
        </xdr:from>
        <xdr:to>
          <xdr:col>24</xdr:col>
          <xdr:colOff>561975</xdr:colOff>
          <xdr:row>29</xdr:row>
          <xdr:rowOff>295275</xdr:rowOff>
        </xdr:to>
        <xdr:sp macro="" textlink="">
          <xdr:nvSpPr>
            <xdr:cNvPr id="4120" name="Option Button 24" hidden="1">
              <a:extLst>
                <a:ext uri="{63B3BB69-23CF-44E3-9099-C40C66FF867C}">
                  <a14:compatExt spid="_x0000_s4120"/>
                </a:ext>
                <a:ext uri="{FF2B5EF4-FFF2-40B4-BE49-F238E27FC236}">
                  <a16:creationId xmlns:a16="http://schemas.microsoft.com/office/drawing/2014/main" id="{00000000-0008-0000-01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300" b="0" i="0" u="none" strike="noStrike" baseline="0">
                  <a:solidFill>
                    <a:srgbClr val="000000"/>
                  </a:solidFill>
                  <a:latin typeface="Lucida Grande"/>
                </a:rPr>
                <a:t>Temperature 3</a:t>
              </a:r>
            </a:p>
          </xdr:txBody>
        </xdr:sp>
        <xdr:clientData/>
      </xdr:twoCellAnchor>
    </mc:Choice>
    <mc:Fallback/>
  </mc:AlternateContent>
  <xdr:twoCellAnchor>
    <xdr:from>
      <xdr:col>3</xdr:col>
      <xdr:colOff>1221154</xdr:colOff>
      <xdr:row>6</xdr:row>
      <xdr:rowOff>231029</xdr:rowOff>
    </xdr:from>
    <xdr:to>
      <xdr:col>29</xdr:col>
      <xdr:colOff>16282</xdr:colOff>
      <xdr:row>24</xdr:row>
      <xdr:rowOff>260513</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723900</xdr:colOff>
      <xdr:row>19</xdr:row>
      <xdr:rowOff>292100</xdr:rowOff>
    </xdr:from>
    <xdr:to>
      <xdr:col>3</xdr:col>
      <xdr:colOff>800100</xdr:colOff>
      <xdr:row>27</xdr:row>
      <xdr:rowOff>139700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723900" y="3441700"/>
          <a:ext cx="3619500" cy="2286000"/>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t>Choose </a:t>
          </a:r>
          <a:r>
            <a:rPr lang="en-GB" sz="2400" b="1"/>
            <a:t>Temperatures</a:t>
          </a:r>
          <a:r>
            <a:rPr lang="en-GB" sz="2400"/>
            <a:t> and a </a:t>
          </a:r>
          <a:r>
            <a:rPr lang="en-GB" sz="2400" b="1"/>
            <a:t>Temperature Profile </a:t>
          </a:r>
          <a:r>
            <a:rPr lang="en-GB" sz="2400"/>
            <a:t>that best matches the way you use your home </a:t>
          </a:r>
          <a:r>
            <a:rPr lang="en-GB" sz="2400" b="1" i="1">
              <a:solidFill>
                <a:srgbClr val="FF0000"/>
              </a:solidFill>
            </a:rPr>
            <a:t>in</a:t>
          </a:r>
          <a:r>
            <a:rPr lang="en-GB" sz="2400" b="1" i="1" baseline="0">
              <a:solidFill>
                <a:srgbClr val="FF0000"/>
              </a:solidFill>
            </a:rPr>
            <a:t> winter</a:t>
          </a:r>
          <a:r>
            <a:rPr lang="en-GB" sz="2400" baseline="0"/>
            <a:t>.</a:t>
          </a:r>
          <a:endParaRPr lang="en-GB" sz="2400"/>
        </a:p>
      </xdr:txBody>
    </xdr:sp>
    <xdr:clientData/>
  </xdr:twoCellAnchor>
  <xdr:twoCellAnchor>
    <xdr:from>
      <xdr:col>1</xdr:col>
      <xdr:colOff>1568450</xdr:colOff>
      <xdr:row>10</xdr:row>
      <xdr:rowOff>25400</xdr:rowOff>
    </xdr:from>
    <xdr:to>
      <xdr:col>2</xdr:col>
      <xdr:colOff>292100</xdr:colOff>
      <xdr:row>19</xdr:row>
      <xdr:rowOff>292100</xdr:rowOff>
    </xdr:to>
    <xdr:cxnSp macro="">
      <xdr:nvCxnSpPr>
        <xdr:cNvPr id="5" name="Curved Connector 4">
          <a:extLst>
            <a:ext uri="{FF2B5EF4-FFF2-40B4-BE49-F238E27FC236}">
              <a16:creationId xmlns:a16="http://schemas.microsoft.com/office/drawing/2014/main" id="{00000000-0008-0000-0100-000005000000}"/>
            </a:ext>
          </a:extLst>
        </xdr:cNvPr>
        <xdr:cNvCxnSpPr>
          <a:stCxn id="3" idx="0"/>
        </xdr:cNvCxnSpPr>
      </xdr:nvCxnSpPr>
      <xdr:spPr>
        <a:xfrm rot="5400000" flipH="1" flipV="1">
          <a:off x="2333625" y="2765425"/>
          <a:ext cx="876300" cy="476250"/>
        </a:xfrm>
        <a:prstGeom prst="curvedConnector3">
          <a:avLst/>
        </a:prstGeom>
        <a:ln w="762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1568450</xdr:colOff>
      <xdr:row>27</xdr:row>
      <xdr:rowOff>139700</xdr:rowOff>
    </xdr:from>
    <xdr:to>
      <xdr:col>3</xdr:col>
      <xdr:colOff>1701800</xdr:colOff>
      <xdr:row>28</xdr:row>
      <xdr:rowOff>228600</xdr:rowOff>
    </xdr:to>
    <xdr:cxnSp macro="">
      <xdr:nvCxnSpPr>
        <xdr:cNvPr id="7" name="Curved Connector 6">
          <a:extLst>
            <a:ext uri="{FF2B5EF4-FFF2-40B4-BE49-F238E27FC236}">
              <a16:creationId xmlns:a16="http://schemas.microsoft.com/office/drawing/2014/main" id="{00000000-0008-0000-0100-000007000000}"/>
            </a:ext>
          </a:extLst>
        </xdr:cNvPr>
        <xdr:cNvCxnSpPr>
          <a:stCxn id="3" idx="2"/>
        </xdr:cNvCxnSpPr>
      </xdr:nvCxnSpPr>
      <xdr:spPr>
        <a:xfrm rot="16200000" flipH="1">
          <a:off x="3692525" y="4568825"/>
          <a:ext cx="393700" cy="2711450"/>
        </a:xfrm>
        <a:prstGeom prst="curvedConnector2">
          <a:avLst/>
        </a:prstGeom>
        <a:ln w="762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389467</xdr:colOff>
      <xdr:row>9</xdr:row>
      <xdr:rowOff>29633</xdr:rowOff>
    </xdr:from>
    <xdr:to>
      <xdr:col>35</xdr:col>
      <xdr:colOff>723901</xdr:colOff>
      <xdr:row>15</xdr:row>
      <xdr:rowOff>84667</xdr:rowOff>
    </xdr:to>
    <xdr:sp macro="" textlink="">
      <xdr:nvSpPr>
        <xdr:cNvPr id="12" name="TextBox 11">
          <a:extLst>
            <a:ext uri="{FF2B5EF4-FFF2-40B4-BE49-F238E27FC236}">
              <a16:creationId xmlns:a16="http://schemas.microsoft.com/office/drawing/2014/main" id="{00000000-0008-0000-0100-00000C000000}"/>
            </a:ext>
          </a:extLst>
        </xdr:cNvPr>
        <xdr:cNvSpPr txBox="1"/>
      </xdr:nvSpPr>
      <xdr:spPr>
        <a:xfrm>
          <a:off x="20286134" y="3534833"/>
          <a:ext cx="6057900" cy="1900767"/>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2400"/>
            <a:t>The </a:t>
          </a:r>
          <a:r>
            <a:rPr lang="en-GB" sz="2400" b="1">
              <a:solidFill>
                <a:srgbClr val="0432FF"/>
              </a:solidFill>
            </a:rPr>
            <a:t>average </a:t>
          </a:r>
          <a:r>
            <a:rPr lang="en-GB" sz="2400">
              <a:solidFill>
                <a:schemeClr val="dk1"/>
              </a:solidFill>
              <a:latin typeface="+mn-lt"/>
              <a:ea typeface="+mn-ea"/>
              <a:cs typeface="+mn-cs"/>
            </a:rPr>
            <a:t>and</a:t>
          </a:r>
          <a:r>
            <a:rPr lang="en-GB" sz="2400" b="1">
              <a:solidFill>
                <a:srgbClr val="0432FF"/>
              </a:solidFill>
            </a:rPr>
            <a:t> maximum temperatures </a:t>
          </a:r>
          <a:r>
            <a:rPr lang="en-GB" sz="2400"/>
            <a:t>are automaticlly filled in on the following spreadsheet</a:t>
          </a:r>
          <a:r>
            <a:rPr lang="en-GB" sz="2400" baseline="0"/>
            <a:t> tabs.</a:t>
          </a:r>
          <a:endParaRPr lang="en-GB" sz="2400"/>
        </a:p>
      </xdr:txBody>
    </xdr:sp>
    <xdr:clientData/>
  </xdr:twoCellAnchor>
  <xdr:twoCellAnchor>
    <xdr:from>
      <xdr:col>30</xdr:col>
      <xdr:colOff>571503</xdr:colOff>
      <xdr:row>6</xdr:row>
      <xdr:rowOff>47626</xdr:rowOff>
    </xdr:from>
    <xdr:to>
      <xdr:col>31</xdr:col>
      <xdr:colOff>444500</xdr:colOff>
      <xdr:row>9</xdr:row>
      <xdr:rowOff>31750</xdr:rowOff>
    </xdr:to>
    <xdr:cxnSp macro="">
      <xdr:nvCxnSpPr>
        <xdr:cNvPr id="13" name="Curved Connector 12">
          <a:extLst>
            <a:ext uri="{FF2B5EF4-FFF2-40B4-BE49-F238E27FC236}">
              <a16:creationId xmlns:a16="http://schemas.microsoft.com/office/drawing/2014/main" id="{00000000-0008-0000-0100-00000D000000}"/>
            </a:ext>
          </a:extLst>
        </xdr:cNvPr>
        <xdr:cNvCxnSpPr/>
      </xdr:nvCxnSpPr>
      <xdr:spPr>
        <a:xfrm rot="16200000" flipV="1">
          <a:off x="18518190" y="2706689"/>
          <a:ext cx="936624" cy="730247"/>
        </a:xfrm>
        <a:prstGeom prst="curvedConnector3">
          <a:avLst>
            <a:gd name="adj1" fmla="val 50000"/>
          </a:avLst>
        </a:prstGeom>
        <a:ln w="762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31749</xdr:colOff>
      <xdr:row>6</xdr:row>
      <xdr:rowOff>47626</xdr:rowOff>
    </xdr:from>
    <xdr:to>
      <xdr:col>33</xdr:col>
      <xdr:colOff>508000</xdr:colOff>
      <xdr:row>9</xdr:row>
      <xdr:rowOff>47627</xdr:rowOff>
    </xdr:to>
    <xdr:cxnSp macro="">
      <xdr:nvCxnSpPr>
        <xdr:cNvPr id="4" name="Curved Connector 3">
          <a:extLst>
            <a:ext uri="{FF2B5EF4-FFF2-40B4-BE49-F238E27FC236}">
              <a16:creationId xmlns:a16="http://schemas.microsoft.com/office/drawing/2014/main" id="{00000000-0008-0000-0100-000004000000}"/>
            </a:ext>
          </a:extLst>
        </xdr:cNvPr>
        <xdr:cNvCxnSpPr/>
      </xdr:nvCxnSpPr>
      <xdr:spPr>
        <a:xfrm rot="5400000" flipH="1" flipV="1">
          <a:off x="20621624" y="2841626"/>
          <a:ext cx="952501" cy="476251"/>
        </a:xfrm>
        <a:prstGeom prst="curvedConnector3">
          <a:avLst>
            <a:gd name="adj1" fmla="val 50000"/>
          </a:avLst>
        </a:prstGeom>
        <a:ln w="762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276795</xdr:colOff>
      <xdr:row>13</xdr:row>
      <xdr:rowOff>138397</xdr:rowOff>
    </xdr:from>
    <xdr:to>
      <xdr:col>2</xdr:col>
      <xdr:colOff>423332</xdr:colOff>
      <xdr:row>17</xdr:row>
      <xdr:rowOff>211665</xdr:rowOff>
    </xdr:to>
    <xdr:cxnSp macro="">
      <xdr:nvCxnSpPr>
        <xdr:cNvPr id="5" name="Curved Connector 4">
          <a:extLst>
            <a:ext uri="{FF2B5EF4-FFF2-40B4-BE49-F238E27FC236}">
              <a16:creationId xmlns:a16="http://schemas.microsoft.com/office/drawing/2014/main" id="{00000000-0008-0000-0200-000005000000}"/>
            </a:ext>
          </a:extLst>
        </xdr:cNvPr>
        <xdr:cNvCxnSpPr/>
      </xdr:nvCxnSpPr>
      <xdr:spPr>
        <a:xfrm rot="16200000" flipH="1">
          <a:off x="5995865" y="3203493"/>
          <a:ext cx="887371" cy="146537"/>
        </a:xfrm>
        <a:prstGeom prst="curved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4545480</xdr:colOff>
      <xdr:row>9</xdr:row>
      <xdr:rowOff>21304</xdr:rowOff>
    </xdr:from>
    <xdr:to>
      <xdr:col>3</xdr:col>
      <xdr:colOff>572658</xdr:colOff>
      <xdr:row>14</xdr:row>
      <xdr:rowOff>8523</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508634" y="2118083"/>
          <a:ext cx="1968051" cy="1010037"/>
        </a:xfrm>
        <a:prstGeom prst="rect">
          <a:avLst/>
        </a:prstGeom>
        <a:solidFill>
          <a:srgbClr val="FFFF00"/>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200"/>
            <a:t>If you know better, click the checkbox and enter your estimate below</a:t>
          </a:r>
        </a:p>
      </xdr:txBody>
    </xdr:sp>
    <xdr:clientData/>
  </xdr:twoCellAnchor>
  <mc:AlternateContent xmlns:mc="http://schemas.openxmlformats.org/markup-compatibility/2006">
    <mc:Choice xmlns:a14="http://schemas.microsoft.com/office/drawing/2010/main" Requires="a14">
      <xdr:twoCellAnchor editAs="oneCell">
        <xdr:from>
          <xdr:col>3</xdr:col>
          <xdr:colOff>838200</xdr:colOff>
          <xdr:row>10</xdr:row>
          <xdr:rowOff>161925</xdr:rowOff>
        </xdr:from>
        <xdr:to>
          <xdr:col>6</xdr:col>
          <xdr:colOff>66675</xdr:colOff>
          <xdr:row>12</xdr:row>
          <xdr:rowOff>123825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2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200" b="0" i="0" u="none" strike="noStrike" baseline="0">
                  <a:solidFill>
                    <a:srgbClr val="000000"/>
                  </a:solidFill>
                  <a:latin typeface="Calibri"/>
                  <a:cs typeface="Calibri"/>
                </a:rPr>
                <a:t>I've got a better estimate</a:t>
              </a:r>
            </a:p>
          </xdr:txBody>
        </xdr:sp>
        <xdr:clientData/>
      </xdr:twoCellAnchor>
    </mc:Choice>
    <mc:Fallback/>
  </mc:AlternateContent>
  <xdr:twoCellAnchor>
    <xdr:from>
      <xdr:col>0</xdr:col>
      <xdr:colOff>56986</xdr:colOff>
      <xdr:row>6</xdr:row>
      <xdr:rowOff>4640</xdr:rowOff>
    </xdr:from>
    <xdr:to>
      <xdr:col>1</xdr:col>
      <xdr:colOff>2621409</xdr:colOff>
      <xdr:row>19</xdr:row>
      <xdr:rowOff>24424</xdr:rowOff>
    </xdr:to>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56986" y="1470025"/>
          <a:ext cx="3533205" cy="2730745"/>
        </a:xfrm>
        <a:prstGeom prst="rect">
          <a:avLst/>
        </a:prstGeom>
        <a:solidFill>
          <a:srgbClr val="FFFF00"/>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200" b="1"/>
            <a:t>Notes</a:t>
          </a:r>
        </a:p>
        <a:p>
          <a:pPr algn="l"/>
          <a:endParaRPr lang="en-GB" sz="1200" b="1"/>
        </a:p>
        <a:p>
          <a:pPr algn="l"/>
          <a:r>
            <a:rPr lang="en-GB" sz="1200"/>
            <a:t>My estimate assumes that each person in your household uses 3 kWh of hot water each day. This</a:t>
          </a:r>
          <a:r>
            <a:rPr lang="en-GB" sz="1200" baseline="0"/>
            <a:t> is an industry standard guideline. But it does not apply to every home.</a:t>
          </a:r>
        </a:p>
        <a:p>
          <a:pPr algn="l"/>
          <a:endParaRPr lang="en-GB" sz="1200" baseline="0"/>
        </a:p>
        <a:p>
          <a:pPr algn="l"/>
          <a:r>
            <a:rPr lang="en-GB" sz="1200" baseline="0"/>
            <a:t>The answer may differ if household members use a lot more or a lot less than average.</a:t>
          </a:r>
        </a:p>
        <a:p>
          <a:pPr algn="l"/>
          <a:endParaRPr lang="en-GB" sz="1200" baseline="0"/>
        </a:p>
        <a:p>
          <a:pPr algn="l"/>
          <a:r>
            <a:rPr lang="en-GB" sz="1200" baseline="0"/>
            <a:t>Additionally, households with solar panels may gain a substantial fraction of their hot water requirement without requiring any gas consumption.</a:t>
          </a:r>
          <a:endParaRPr lang="en-GB"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1803400</xdr:colOff>
      <xdr:row>3</xdr:row>
      <xdr:rowOff>127000</xdr:rowOff>
    </xdr:from>
    <xdr:to>
      <xdr:col>5</xdr:col>
      <xdr:colOff>762000</xdr:colOff>
      <xdr:row>7</xdr:row>
      <xdr:rowOff>190500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812057</xdr:colOff>
      <xdr:row>31</xdr:row>
      <xdr:rowOff>120567</xdr:rowOff>
    </xdr:from>
    <xdr:to>
      <xdr:col>5</xdr:col>
      <xdr:colOff>222332</xdr:colOff>
      <xdr:row>37</xdr:row>
      <xdr:rowOff>276760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10</xdr:col>
      <xdr:colOff>436162</xdr:colOff>
      <xdr:row>51</xdr:row>
      <xdr:rowOff>12829</xdr:rowOff>
    </xdr:from>
    <xdr:ext cx="4048714" cy="7340862"/>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3092962" y="18338929"/>
          <a:ext cx="4048714" cy="7340862"/>
        </a:xfrm>
        <a:custGeom>
          <a:avLst/>
          <a:gdLst>
            <a:gd name="connsiteX0" fmla="*/ 0 w 4048714"/>
            <a:gd name="connsiteY0" fmla="*/ 0 h 7340862"/>
            <a:gd name="connsiteX1" fmla="*/ 537901 w 4048714"/>
            <a:gd name="connsiteY1" fmla="*/ 0 h 7340862"/>
            <a:gd name="connsiteX2" fmla="*/ 994827 w 4048714"/>
            <a:gd name="connsiteY2" fmla="*/ 0 h 7340862"/>
            <a:gd name="connsiteX3" fmla="*/ 1654189 w 4048714"/>
            <a:gd name="connsiteY3" fmla="*/ 0 h 7340862"/>
            <a:gd name="connsiteX4" fmla="*/ 2192089 w 4048714"/>
            <a:gd name="connsiteY4" fmla="*/ 0 h 7340862"/>
            <a:gd name="connsiteX5" fmla="*/ 2729990 w 4048714"/>
            <a:gd name="connsiteY5" fmla="*/ 0 h 7340862"/>
            <a:gd name="connsiteX6" fmla="*/ 3389352 w 4048714"/>
            <a:gd name="connsiteY6" fmla="*/ 0 h 7340862"/>
            <a:gd name="connsiteX7" fmla="*/ 4048714 w 4048714"/>
            <a:gd name="connsiteY7" fmla="*/ 0 h 7340862"/>
            <a:gd name="connsiteX8" fmla="*/ 4048714 w 4048714"/>
            <a:gd name="connsiteY8" fmla="*/ 711499 h 7340862"/>
            <a:gd name="connsiteX9" fmla="*/ 4048714 w 4048714"/>
            <a:gd name="connsiteY9" fmla="*/ 1129363 h 7340862"/>
            <a:gd name="connsiteX10" fmla="*/ 4048714 w 4048714"/>
            <a:gd name="connsiteY10" fmla="*/ 1547228 h 7340862"/>
            <a:gd name="connsiteX11" fmla="*/ 4048714 w 4048714"/>
            <a:gd name="connsiteY11" fmla="*/ 2111910 h 7340862"/>
            <a:gd name="connsiteX12" fmla="*/ 4048714 w 4048714"/>
            <a:gd name="connsiteY12" fmla="*/ 2750000 h 7340862"/>
            <a:gd name="connsiteX13" fmla="*/ 4048714 w 4048714"/>
            <a:gd name="connsiteY13" fmla="*/ 3094456 h 7340862"/>
            <a:gd name="connsiteX14" fmla="*/ 4048714 w 4048714"/>
            <a:gd name="connsiteY14" fmla="*/ 3659137 h 7340862"/>
            <a:gd name="connsiteX15" fmla="*/ 4048714 w 4048714"/>
            <a:gd name="connsiteY15" fmla="*/ 4223819 h 7340862"/>
            <a:gd name="connsiteX16" fmla="*/ 4048714 w 4048714"/>
            <a:gd name="connsiteY16" fmla="*/ 4788501 h 7340862"/>
            <a:gd name="connsiteX17" fmla="*/ 4048714 w 4048714"/>
            <a:gd name="connsiteY17" fmla="*/ 5426591 h 7340862"/>
            <a:gd name="connsiteX18" fmla="*/ 4048714 w 4048714"/>
            <a:gd name="connsiteY18" fmla="*/ 6064681 h 7340862"/>
            <a:gd name="connsiteX19" fmla="*/ 4048714 w 4048714"/>
            <a:gd name="connsiteY19" fmla="*/ 6702772 h 7340862"/>
            <a:gd name="connsiteX20" fmla="*/ 4048714 w 4048714"/>
            <a:gd name="connsiteY20" fmla="*/ 7340862 h 7340862"/>
            <a:gd name="connsiteX21" fmla="*/ 3551301 w 4048714"/>
            <a:gd name="connsiteY21" fmla="*/ 7340862 h 7340862"/>
            <a:gd name="connsiteX22" fmla="*/ 2972913 w 4048714"/>
            <a:gd name="connsiteY22" fmla="*/ 7340862 h 7340862"/>
            <a:gd name="connsiteX23" fmla="*/ 2475499 w 4048714"/>
            <a:gd name="connsiteY23" fmla="*/ 7340862 h 7340862"/>
            <a:gd name="connsiteX24" fmla="*/ 1897112 w 4048714"/>
            <a:gd name="connsiteY24" fmla="*/ 7340862 h 7340862"/>
            <a:gd name="connsiteX25" fmla="*/ 1440185 w 4048714"/>
            <a:gd name="connsiteY25" fmla="*/ 7340862 h 7340862"/>
            <a:gd name="connsiteX26" fmla="*/ 983259 w 4048714"/>
            <a:gd name="connsiteY26" fmla="*/ 7340862 h 7340862"/>
            <a:gd name="connsiteX27" fmla="*/ 0 w 4048714"/>
            <a:gd name="connsiteY27" fmla="*/ 7340862 h 7340862"/>
            <a:gd name="connsiteX28" fmla="*/ 0 w 4048714"/>
            <a:gd name="connsiteY28" fmla="*/ 6922998 h 7340862"/>
            <a:gd name="connsiteX29" fmla="*/ 0 w 4048714"/>
            <a:gd name="connsiteY29" fmla="*/ 6211499 h 7340862"/>
            <a:gd name="connsiteX30" fmla="*/ 0 w 4048714"/>
            <a:gd name="connsiteY30" fmla="*/ 5720226 h 7340862"/>
            <a:gd name="connsiteX31" fmla="*/ 0 w 4048714"/>
            <a:gd name="connsiteY31" fmla="*/ 5375770 h 7340862"/>
            <a:gd name="connsiteX32" fmla="*/ 0 w 4048714"/>
            <a:gd name="connsiteY32" fmla="*/ 4737679 h 7340862"/>
            <a:gd name="connsiteX33" fmla="*/ 0 w 4048714"/>
            <a:gd name="connsiteY33" fmla="*/ 4319815 h 7340862"/>
            <a:gd name="connsiteX34" fmla="*/ 0 w 4048714"/>
            <a:gd name="connsiteY34" fmla="*/ 3681725 h 7340862"/>
            <a:gd name="connsiteX35" fmla="*/ 0 w 4048714"/>
            <a:gd name="connsiteY35" fmla="*/ 2970226 h 7340862"/>
            <a:gd name="connsiteX36" fmla="*/ 0 w 4048714"/>
            <a:gd name="connsiteY36" fmla="*/ 2478953 h 7340862"/>
            <a:gd name="connsiteX37" fmla="*/ 0 w 4048714"/>
            <a:gd name="connsiteY37" fmla="*/ 1767454 h 7340862"/>
            <a:gd name="connsiteX38" fmla="*/ 0 w 4048714"/>
            <a:gd name="connsiteY38" fmla="*/ 1349589 h 7340862"/>
            <a:gd name="connsiteX39" fmla="*/ 0 w 4048714"/>
            <a:gd name="connsiteY39" fmla="*/ 1005133 h 7340862"/>
            <a:gd name="connsiteX40" fmla="*/ 0 w 4048714"/>
            <a:gd name="connsiteY40" fmla="*/ 660678 h 7340862"/>
            <a:gd name="connsiteX41" fmla="*/ 0 w 4048714"/>
            <a:gd name="connsiteY41" fmla="*/ 0 h 734086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4048714" h="7340862" extrusionOk="0">
              <a:moveTo>
                <a:pt x="0" y="0"/>
              </a:moveTo>
              <a:cubicBezTo>
                <a:pt x="133334" y="-57338"/>
                <a:pt x="383566" y="3381"/>
                <a:pt x="537901" y="0"/>
              </a:cubicBezTo>
              <a:cubicBezTo>
                <a:pt x="692236" y="-3381"/>
                <a:pt x="839927" y="15689"/>
                <a:pt x="994827" y="0"/>
              </a:cubicBezTo>
              <a:cubicBezTo>
                <a:pt x="1149727" y="-15689"/>
                <a:pt x="1389223" y="10981"/>
                <a:pt x="1654189" y="0"/>
              </a:cubicBezTo>
              <a:cubicBezTo>
                <a:pt x="1919155" y="-10981"/>
                <a:pt x="2049724" y="39393"/>
                <a:pt x="2192089" y="0"/>
              </a:cubicBezTo>
              <a:cubicBezTo>
                <a:pt x="2334454" y="-39393"/>
                <a:pt x="2519602" y="282"/>
                <a:pt x="2729990" y="0"/>
              </a:cubicBezTo>
              <a:cubicBezTo>
                <a:pt x="2940378" y="-282"/>
                <a:pt x="3160484" y="67034"/>
                <a:pt x="3389352" y="0"/>
              </a:cubicBezTo>
              <a:cubicBezTo>
                <a:pt x="3618220" y="-67034"/>
                <a:pt x="3759068" y="60153"/>
                <a:pt x="4048714" y="0"/>
              </a:cubicBezTo>
              <a:cubicBezTo>
                <a:pt x="4081491" y="319474"/>
                <a:pt x="4036360" y="457828"/>
                <a:pt x="4048714" y="711499"/>
              </a:cubicBezTo>
              <a:cubicBezTo>
                <a:pt x="4061068" y="965170"/>
                <a:pt x="4012834" y="994836"/>
                <a:pt x="4048714" y="1129363"/>
              </a:cubicBezTo>
              <a:cubicBezTo>
                <a:pt x="4084594" y="1263890"/>
                <a:pt x="4046347" y="1405927"/>
                <a:pt x="4048714" y="1547228"/>
              </a:cubicBezTo>
              <a:cubicBezTo>
                <a:pt x="4051081" y="1688529"/>
                <a:pt x="4034606" y="1939792"/>
                <a:pt x="4048714" y="2111910"/>
              </a:cubicBezTo>
              <a:cubicBezTo>
                <a:pt x="4062822" y="2284028"/>
                <a:pt x="3993895" y="2555417"/>
                <a:pt x="4048714" y="2750000"/>
              </a:cubicBezTo>
              <a:cubicBezTo>
                <a:pt x="4103533" y="2944583"/>
                <a:pt x="4018721" y="2963366"/>
                <a:pt x="4048714" y="3094456"/>
              </a:cubicBezTo>
              <a:cubicBezTo>
                <a:pt x="4078707" y="3225546"/>
                <a:pt x="4042172" y="3461643"/>
                <a:pt x="4048714" y="3659137"/>
              </a:cubicBezTo>
              <a:cubicBezTo>
                <a:pt x="4055256" y="3856631"/>
                <a:pt x="4046011" y="4019636"/>
                <a:pt x="4048714" y="4223819"/>
              </a:cubicBezTo>
              <a:cubicBezTo>
                <a:pt x="4051417" y="4428002"/>
                <a:pt x="3998986" y="4532515"/>
                <a:pt x="4048714" y="4788501"/>
              </a:cubicBezTo>
              <a:cubicBezTo>
                <a:pt x="4098442" y="5044487"/>
                <a:pt x="3976497" y="5176833"/>
                <a:pt x="4048714" y="5426591"/>
              </a:cubicBezTo>
              <a:cubicBezTo>
                <a:pt x="4120931" y="5676349"/>
                <a:pt x="3977319" y="5900484"/>
                <a:pt x="4048714" y="6064681"/>
              </a:cubicBezTo>
              <a:cubicBezTo>
                <a:pt x="4120109" y="6228878"/>
                <a:pt x="4025873" y="6575130"/>
                <a:pt x="4048714" y="6702772"/>
              </a:cubicBezTo>
              <a:cubicBezTo>
                <a:pt x="4071555" y="6830414"/>
                <a:pt x="4040205" y="7031268"/>
                <a:pt x="4048714" y="7340862"/>
              </a:cubicBezTo>
              <a:cubicBezTo>
                <a:pt x="3858980" y="7399727"/>
                <a:pt x="3713090" y="7320338"/>
                <a:pt x="3551301" y="7340862"/>
              </a:cubicBezTo>
              <a:cubicBezTo>
                <a:pt x="3389512" y="7361386"/>
                <a:pt x="3146347" y="7327978"/>
                <a:pt x="2972913" y="7340862"/>
              </a:cubicBezTo>
              <a:cubicBezTo>
                <a:pt x="2799479" y="7353746"/>
                <a:pt x="2710911" y="7317621"/>
                <a:pt x="2475499" y="7340862"/>
              </a:cubicBezTo>
              <a:cubicBezTo>
                <a:pt x="2240087" y="7364103"/>
                <a:pt x="2106508" y="7333673"/>
                <a:pt x="1897112" y="7340862"/>
              </a:cubicBezTo>
              <a:cubicBezTo>
                <a:pt x="1687716" y="7348051"/>
                <a:pt x="1571546" y="7312851"/>
                <a:pt x="1440185" y="7340862"/>
              </a:cubicBezTo>
              <a:cubicBezTo>
                <a:pt x="1308824" y="7368873"/>
                <a:pt x="1137923" y="7301876"/>
                <a:pt x="983259" y="7340862"/>
              </a:cubicBezTo>
              <a:cubicBezTo>
                <a:pt x="828595" y="7379848"/>
                <a:pt x="248064" y="7274519"/>
                <a:pt x="0" y="7340862"/>
              </a:cubicBezTo>
              <a:cubicBezTo>
                <a:pt x="-6178" y="7233206"/>
                <a:pt x="26546" y="7114228"/>
                <a:pt x="0" y="6922998"/>
              </a:cubicBezTo>
              <a:cubicBezTo>
                <a:pt x="-26546" y="6731768"/>
                <a:pt x="39200" y="6397360"/>
                <a:pt x="0" y="6211499"/>
              </a:cubicBezTo>
              <a:cubicBezTo>
                <a:pt x="-39200" y="6025638"/>
                <a:pt x="21503" y="5951331"/>
                <a:pt x="0" y="5720226"/>
              </a:cubicBezTo>
              <a:cubicBezTo>
                <a:pt x="-21503" y="5489121"/>
                <a:pt x="29817" y="5487854"/>
                <a:pt x="0" y="5375770"/>
              </a:cubicBezTo>
              <a:cubicBezTo>
                <a:pt x="-29817" y="5263686"/>
                <a:pt x="23967" y="5029781"/>
                <a:pt x="0" y="4737679"/>
              </a:cubicBezTo>
              <a:cubicBezTo>
                <a:pt x="-23967" y="4445577"/>
                <a:pt x="4554" y="4511000"/>
                <a:pt x="0" y="4319815"/>
              </a:cubicBezTo>
              <a:cubicBezTo>
                <a:pt x="-4554" y="4128630"/>
                <a:pt x="30447" y="3944842"/>
                <a:pt x="0" y="3681725"/>
              </a:cubicBezTo>
              <a:cubicBezTo>
                <a:pt x="-30447" y="3418608"/>
                <a:pt x="29276" y="3134170"/>
                <a:pt x="0" y="2970226"/>
              </a:cubicBezTo>
              <a:cubicBezTo>
                <a:pt x="-29276" y="2806282"/>
                <a:pt x="51274" y="2609293"/>
                <a:pt x="0" y="2478953"/>
              </a:cubicBezTo>
              <a:cubicBezTo>
                <a:pt x="-51274" y="2348613"/>
                <a:pt x="2214" y="1953129"/>
                <a:pt x="0" y="1767454"/>
              </a:cubicBezTo>
              <a:cubicBezTo>
                <a:pt x="-2214" y="1581779"/>
                <a:pt x="10410" y="1438948"/>
                <a:pt x="0" y="1349589"/>
              </a:cubicBezTo>
              <a:cubicBezTo>
                <a:pt x="-10410" y="1260230"/>
                <a:pt x="17886" y="1087368"/>
                <a:pt x="0" y="1005133"/>
              </a:cubicBezTo>
              <a:cubicBezTo>
                <a:pt x="-17886" y="922898"/>
                <a:pt x="31460" y="736299"/>
                <a:pt x="0" y="660678"/>
              </a:cubicBezTo>
              <a:cubicBezTo>
                <a:pt x="-31460" y="585058"/>
                <a:pt x="63337" y="170222"/>
                <a:pt x="0" y="0"/>
              </a:cubicBezTo>
              <a:close/>
            </a:path>
          </a:pathLst>
        </a:custGeom>
        <a:noFill/>
        <a:ln w="38100">
          <a:solidFill>
            <a:schemeClr val="tx1"/>
          </a:solidFill>
          <a:extLst>
            <a:ext uri="{C807C97D-BFC1-408E-A445-0C87EB9F89A2}">
              <ask:lineSketchStyleProps xmlns:ask="http://schemas.microsoft.com/office/drawing/2018/sketchyshapes" xmlns="" sd="1219033472">
                <a:prstGeom prst="rect">
                  <a:avLst/>
                </a:prstGeom>
                <ask:type>
                  <ask:lineSketchScribble/>
                </ask:type>
              </ask:lineSketchStyleProps>
            </a:ext>
          </a:extLst>
        </a:ln>
        <a:effectLst>
          <a:outerShdw blurRad="50800" dist="38100" dir="2700000" algn="tl" rotWithShape="0">
            <a:prstClr val="black">
              <a:alpha val="40000"/>
            </a:prstClr>
          </a:outerShdw>
        </a:effectLst>
      </xdr:spPr>
    </xdr:pic>
    <xdr:clientData/>
  </xdr:oneCellAnchor>
  <xdr:oneCellAnchor>
    <xdr:from>
      <xdr:col>17</xdr:col>
      <xdr:colOff>0</xdr:colOff>
      <xdr:row>51</xdr:row>
      <xdr:rowOff>0</xdr:rowOff>
    </xdr:from>
    <xdr:ext cx="4605151" cy="8067973"/>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29349700" y="18326100"/>
          <a:ext cx="4605151" cy="8067973"/>
        </a:xfrm>
        <a:custGeom>
          <a:avLst/>
          <a:gdLst>
            <a:gd name="connsiteX0" fmla="*/ 0 w 4605151"/>
            <a:gd name="connsiteY0" fmla="*/ 0 h 8067973"/>
            <a:gd name="connsiteX1" fmla="*/ 529592 w 4605151"/>
            <a:gd name="connsiteY1" fmla="*/ 0 h 8067973"/>
            <a:gd name="connsiteX2" fmla="*/ 967082 w 4605151"/>
            <a:gd name="connsiteY2" fmla="*/ 0 h 8067973"/>
            <a:gd name="connsiteX3" fmla="*/ 1634829 w 4605151"/>
            <a:gd name="connsiteY3" fmla="*/ 0 h 8067973"/>
            <a:gd name="connsiteX4" fmla="*/ 2164421 w 4605151"/>
            <a:gd name="connsiteY4" fmla="*/ 0 h 8067973"/>
            <a:gd name="connsiteX5" fmla="*/ 2694013 w 4605151"/>
            <a:gd name="connsiteY5" fmla="*/ 0 h 8067973"/>
            <a:gd name="connsiteX6" fmla="*/ 3361760 w 4605151"/>
            <a:gd name="connsiteY6" fmla="*/ 0 h 8067973"/>
            <a:gd name="connsiteX7" fmla="*/ 3845301 w 4605151"/>
            <a:gd name="connsiteY7" fmla="*/ 0 h 8067973"/>
            <a:gd name="connsiteX8" fmla="*/ 4605151 w 4605151"/>
            <a:gd name="connsiteY8" fmla="*/ 0 h 8067973"/>
            <a:gd name="connsiteX9" fmla="*/ 4605151 w 4605151"/>
            <a:gd name="connsiteY9" fmla="*/ 737643 h 8067973"/>
            <a:gd name="connsiteX10" fmla="*/ 4605151 w 4605151"/>
            <a:gd name="connsiteY10" fmla="*/ 1152568 h 8067973"/>
            <a:gd name="connsiteX11" fmla="*/ 4605151 w 4605151"/>
            <a:gd name="connsiteY11" fmla="*/ 1728851 h 8067973"/>
            <a:gd name="connsiteX12" fmla="*/ 4605151 w 4605151"/>
            <a:gd name="connsiteY12" fmla="*/ 2385815 h 8067973"/>
            <a:gd name="connsiteX13" fmla="*/ 4605151 w 4605151"/>
            <a:gd name="connsiteY13" fmla="*/ 2720059 h 8067973"/>
            <a:gd name="connsiteX14" fmla="*/ 4605151 w 4605151"/>
            <a:gd name="connsiteY14" fmla="*/ 3296343 h 8067973"/>
            <a:gd name="connsiteX15" fmla="*/ 4605151 w 4605151"/>
            <a:gd name="connsiteY15" fmla="*/ 3872627 h 8067973"/>
            <a:gd name="connsiteX16" fmla="*/ 4605151 w 4605151"/>
            <a:gd name="connsiteY16" fmla="*/ 4448911 h 8067973"/>
            <a:gd name="connsiteX17" fmla="*/ 4605151 w 4605151"/>
            <a:gd name="connsiteY17" fmla="*/ 5105874 h 8067973"/>
            <a:gd name="connsiteX18" fmla="*/ 4605151 w 4605151"/>
            <a:gd name="connsiteY18" fmla="*/ 5762838 h 8067973"/>
            <a:gd name="connsiteX19" fmla="*/ 4605151 w 4605151"/>
            <a:gd name="connsiteY19" fmla="*/ 6419801 h 8067973"/>
            <a:gd name="connsiteX20" fmla="*/ 4605151 w 4605151"/>
            <a:gd name="connsiteY20" fmla="*/ 6754046 h 8067973"/>
            <a:gd name="connsiteX21" fmla="*/ 4605151 w 4605151"/>
            <a:gd name="connsiteY21" fmla="*/ 7168970 h 8067973"/>
            <a:gd name="connsiteX22" fmla="*/ 4605151 w 4605151"/>
            <a:gd name="connsiteY22" fmla="*/ 8067973 h 8067973"/>
            <a:gd name="connsiteX23" fmla="*/ 4075559 w 4605151"/>
            <a:gd name="connsiteY23" fmla="*/ 8067973 h 8067973"/>
            <a:gd name="connsiteX24" fmla="*/ 3499915 w 4605151"/>
            <a:gd name="connsiteY24" fmla="*/ 8067973 h 8067973"/>
            <a:gd name="connsiteX25" fmla="*/ 3062425 w 4605151"/>
            <a:gd name="connsiteY25" fmla="*/ 8067973 h 8067973"/>
            <a:gd name="connsiteX26" fmla="*/ 2624936 w 4605151"/>
            <a:gd name="connsiteY26" fmla="*/ 8067973 h 8067973"/>
            <a:gd name="connsiteX27" fmla="*/ 2049292 w 4605151"/>
            <a:gd name="connsiteY27" fmla="*/ 8067973 h 8067973"/>
            <a:gd name="connsiteX28" fmla="*/ 1565751 w 4605151"/>
            <a:gd name="connsiteY28" fmla="*/ 8067973 h 8067973"/>
            <a:gd name="connsiteX29" fmla="*/ 944056 w 4605151"/>
            <a:gd name="connsiteY29" fmla="*/ 8067973 h 8067973"/>
            <a:gd name="connsiteX30" fmla="*/ 0 w 4605151"/>
            <a:gd name="connsiteY30" fmla="*/ 8067973 h 8067973"/>
            <a:gd name="connsiteX31" fmla="*/ 0 w 4605151"/>
            <a:gd name="connsiteY31" fmla="*/ 7411009 h 8067973"/>
            <a:gd name="connsiteX32" fmla="*/ 0 w 4605151"/>
            <a:gd name="connsiteY32" fmla="*/ 6754046 h 8067973"/>
            <a:gd name="connsiteX33" fmla="*/ 0 w 4605151"/>
            <a:gd name="connsiteY33" fmla="*/ 6339122 h 8067973"/>
            <a:gd name="connsiteX34" fmla="*/ 0 w 4605151"/>
            <a:gd name="connsiteY34" fmla="*/ 5682158 h 8067973"/>
            <a:gd name="connsiteX35" fmla="*/ 0 w 4605151"/>
            <a:gd name="connsiteY35" fmla="*/ 4944515 h 8067973"/>
            <a:gd name="connsiteX36" fmla="*/ 0 w 4605151"/>
            <a:gd name="connsiteY36" fmla="*/ 4448911 h 8067973"/>
            <a:gd name="connsiteX37" fmla="*/ 0 w 4605151"/>
            <a:gd name="connsiteY37" fmla="*/ 3711268 h 8067973"/>
            <a:gd name="connsiteX38" fmla="*/ 0 w 4605151"/>
            <a:gd name="connsiteY38" fmla="*/ 3296343 h 8067973"/>
            <a:gd name="connsiteX39" fmla="*/ 0 w 4605151"/>
            <a:gd name="connsiteY39" fmla="*/ 2962099 h 8067973"/>
            <a:gd name="connsiteX40" fmla="*/ 0 w 4605151"/>
            <a:gd name="connsiteY40" fmla="*/ 2627854 h 8067973"/>
            <a:gd name="connsiteX41" fmla="*/ 0 w 4605151"/>
            <a:gd name="connsiteY41" fmla="*/ 1970891 h 8067973"/>
            <a:gd name="connsiteX42" fmla="*/ 0 w 4605151"/>
            <a:gd name="connsiteY42" fmla="*/ 1636646 h 8067973"/>
            <a:gd name="connsiteX43" fmla="*/ 0 w 4605151"/>
            <a:gd name="connsiteY43" fmla="*/ 1060362 h 8067973"/>
            <a:gd name="connsiteX44" fmla="*/ 0 w 4605151"/>
            <a:gd name="connsiteY44" fmla="*/ 645438 h 8067973"/>
            <a:gd name="connsiteX45" fmla="*/ 0 w 4605151"/>
            <a:gd name="connsiteY45" fmla="*/ 0 h 806797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Lst>
          <a:rect l="l" t="t" r="r" b="b"/>
          <a:pathLst>
            <a:path w="4605151" h="8067973" extrusionOk="0">
              <a:moveTo>
                <a:pt x="0" y="0"/>
              </a:moveTo>
              <a:cubicBezTo>
                <a:pt x="180918" y="-27065"/>
                <a:pt x="273388" y="17664"/>
                <a:pt x="529592" y="0"/>
              </a:cubicBezTo>
              <a:cubicBezTo>
                <a:pt x="785796" y="-17664"/>
                <a:pt x="866904" y="46474"/>
                <a:pt x="967082" y="0"/>
              </a:cubicBezTo>
              <a:cubicBezTo>
                <a:pt x="1067260" y="-46474"/>
                <a:pt x="1332266" y="27833"/>
                <a:pt x="1634829" y="0"/>
              </a:cubicBezTo>
              <a:cubicBezTo>
                <a:pt x="1937392" y="-27833"/>
                <a:pt x="1955596" y="13238"/>
                <a:pt x="2164421" y="0"/>
              </a:cubicBezTo>
              <a:cubicBezTo>
                <a:pt x="2373246" y="-13238"/>
                <a:pt x="2535096" y="11523"/>
                <a:pt x="2694013" y="0"/>
              </a:cubicBezTo>
              <a:cubicBezTo>
                <a:pt x="2852930" y="-11523"/>
                <a:pt x="3095047" y="18794"/>
                <a:pt x="3361760" y="0"/>
              </a:cubicBezTo>
              <a:cubicBezTo>
                <a:pt x="3628473" y="-18794"/>
                <a:pt x="3677440" y="11967"/>
                <a:pt x="3845301" y="0"/>
              </a:cubicBezTo>
              <a:cubicBezTo>
                <a:pt x="4013162" y="-11967"/>
                <a:pt x="4423847" y="75975"/>
                <a:pt x="4605151" y="0"/>
              </a:cubicBezTo>
              <a:cubicBezTo>
                <a:pt x="4673560" y="322132"/>
                <a:pt x="4565788" y="452182"/>
                <a:pt x="4605151" y="737643"/>
              </a:cubicBezTo>
              <a:cubicBezTo>
                <a:pt x="4644514" y="1023104"/>
                <a:pt x="4556710" y="948883"/>
                <a:pt x="4605151" y="1152568"/>
              </a:cubicBezTo>
              <a:cubicBezTo>
                <a:pt x="4653592" y="1356253"/>
                <a:pt x="4568301" y="1443483"/>
                <a:pt x="4605151" y="1728851"/>
              </a:cubicBezTo>
              <a:cubicBezTo>
                <a:pt x="4642001" y="2014219"/>
                <a:pt x="4556429" y="2234786"/>
                <a:pt x="4605151" y="2385815"/>
              </a:cubicBezTo>
              <a:cubicBezTo>
                <a:pt x="4653873" y="2536844"/>
                <a:pt x="4566666" y="2624538"/>
                <a:pt x="4605151" y="2720059"/>
              </a:cubicBezTo>
              <a:cubicBezTo>
                <a:pt x="4643636" y="2815580"/>
                <a:pt x="4576184" y="3126914"/>
                <a:pt x="4605151" y="3296343"/>
              </a:cubicBezTo>
              <a:cubicBezTo>
                <a:pt x="4634118" y="3465772"/>
                <a:pt x="4591897" y="3681177"/>
                <a:pt x="4605151" y="3872627"/>
              </a:cubicBezTo>
              <a:cubicBezTo>
                <a:pt x="4618405" y="4064077"/>
                <a:pt x="4574028" y="4271446"/>
                <a:pt x="4605151" y="4448911"/>
              </a:cubicBezTo>
              <a:cubicBezTo>
                <a:pt x="4636274" y="4626376"/>
                <a:pt x="4574263" y="4941592"/>
                <a:pt x="4605151" y="5105874"/>
              </a:cubicBezTo>
              <a:cubicBezTo>
                <a:pt x="4636039" y="5270156"/>
                <a:pt x="4546424" y="5458092"/>
                <a:pt x="4605151" y="5762838"/>
              </a:cubicBezTo>
              <a:cubicBezTo>
                <a:pt x="4663878" y="6067584"/>
                <a:pt x="4560040" y="6125933"/>
                <a:pt x="4605151" y="6419801"/>
              </a:cubicBezTo>
              <a:cubicBezTo>
                <a:pt x="4650262" y="6713669"/>
                <a:pt x="4587518" y="6618969"/>
                <a:pt x="4605151" y="6754046"/>
              </a:cubicBezTo>
              <a:cubicBezTo>
                <a:pt x="4622784" y="6889123"/>
                <a:pt x="4570874" y="7011904"/>
                <a:pt x="4605151" y="7168970"/>
              </a:cubicBezTo>
              <a:cubicBezTo>
                <a:pt x="4639428" y="7326036"/>
                <a:pt x="4551039" y="7723288"/>
                <a:pt x="4605151" y="8067973"/>
              </a:cubicBezTo>
              <a:cubicBezTo>
                <a:pt x="4435233" y="8118262"/>
                <a:pt x="4283920" y="8046093"/>
                <a:pt x="4075559" y="8067973"/>
              </a:cubicBezTo>
              <a:cubicBezTo>
                <a:pt x="3867198" y="8089853"/>
                <a:pt x="3624885" y="8047199"/>
                <a:pt x="3499915" y="8067973"/>
              </a:cubicBezTo>
              <a:cubicBezTo>
                <a:pt x="3374945" y="8088747"/>
                <a:pt x="3204719" y="8054024"/>
                <a:pt x="3062425" y="8067973"/>
              </a:cubicBezTo>
              <a:cubicBezTo>
                <a:pt x="2920131" y="8081922"/>
                <a:pt x="2739094" y="8023814"/>
                <a:pt x="2624936" y="8067973"/>
              </a:cubicBezTo>
              <a:cubicBezTo>
                <a:pt x="2510778" y="8112132"/>
                <a:pt x="2288021" y="8050318"/>
                <a:pt x="2049292" y="8067973"/>
              </a:cubicBezTo>
              <a:cubicBezTo>
                <a:pt x="1810563" y="8085628"/>
                <a:pt x="1786253" y="8021102"/>
                <a:pt x="1565751" y="8067973"/>
              </a:cubicBezTo>
              <a:cubicBezTo>
                <a:pt x="1345249" y="8114844"/>
                <a:pt x="1202500" y="7999899"/>
                <a:pt x="944056" y="8067973"/>
              </a:cubicBezTo>
              <a:cubicBezTo>
                <a:pt x="685613" y="8136047"/>
                <a:pt x="334766" y="7991451"/>
                <a:pt x="0" y="8067973"/>
              </a:cubicBezTo>
              <a:cubicBezTo>
                <a:pt x="-13528" y="7936396"/>
                <a:pt x="47940" y="7619847"/>
                <a:pt x="0" y="7411009"/>
              </a:cubicBezTo>
              <a:cubicBezTo>
                <a:pt x="-47940" y="7202171"/>
                <a:pt x="38362" y="6899555"/>
                <a:pt x="0" y="6754046"/>
              </a:cubicBezTo>
              <a:cubicBezTo>
                <a:pt x="-38362" y="6608537"/>
                <a:pt x="39052" y="6448123"/>
                <a:pt x="0" y="6339122"/>
              </a:cubicBezTo>
              <a:cubicBezTo>
                <a:pt x="-39052" y="6230121"/>
                <a:pt x="55835" y="5979483"/>
                <a:pt x="0" y="5682158"/>
              </a:cubicBezTo>
              <a:cubicBezTo>
                <a:pt x="-55835" y="5384833"/>
                <a:pt x="18011" y="5253022"/>
                <a:pt x="0" y="4944515"/>
              </a:cubicBezTo>
              <a:cubicBezTo>
                <a:pt x="-18011" y="4636008"/>
                <a:pt x="43465" y="4597895"/>
                <a:pt x="0" y="4448911"/>
              </a:cubicBezTo>
              <a:cubicBezTo>
                <a:pt x="-43465" y="4299927"/>
                <a:pt x="33163" y="3976404"/>
                <a:pt x="0" y="3711268"/>
              </a:cubicBezTo>
              <a:cubicBezTo>
                <a:pt x="-33163" y="3446132"/>
                <a:pt x="46900" y="3427685"/>
                <a:pt x="0" y="3296343"/>
              </a:cubicBezTo>
              <a:cubicBezTo>
                <a:pt x="-46900" y="3165002"/>
                <a:pt x="38243" y="3076593"/>
                <a:pt x="0" y="2962099"/>
              </a:cubicBezTo>
              <a:cubicBezTo>
                <a:pt x="-38243" y="2847605"/>
                <a:pt x="8256" y="2730460"/>
                <a:pt x="0" y="2627854"/>
              </a:cubicBezTo>
              <a:cubicBezTo>
                <a:pt x="-8256" y="2525248"/>
                <a:pt x="75709" y="2176540"/>
                <a:pt x="0" y="1970891"/>
              </a:cubicBezTo>
              <a:cubicBezTo>
                <a:pt x="-75709" y="1765242"/>
                <a:pt x="6230" y="1747726"/>
                <a:pt x="0" y="1636646"/>
              </a:cubicBezTo>
              <a:cubicBezTo>
                <a:pt x="-6230" y="1525567"/>
                <a:pt x="40918" y="1233834"/>
                <a:pt x="0" y="1060362"/>
              </a:cubicBezTo>
              <a:cubicBezTo>
                <a:pt x="-40918" y="886890"/>
                <a:pt x="29247" y="806675"/>
                <a:pt x="0" y="645438"/>
              </a:cubicBezTo>
              <a:cubicBezTo>
                <a:pt x="-29247" y="484201"/>
                <a:pt x="34317" y="253570"/>
                <a:pt x="0" y="0"/>
              </a:cubicBezTo>
              <a:close/>
            </a:path>
          </a:pathLst>
        </a:custGeom>
        <a:noFill/>
        <a:ln w="38100">
          <a:solidFill>
            <a:schemeClr val="tx1"/>
          </a:solidFill>
          <a:extLst>
            <a:ext uri="{C807C97D-BFC1-408E-A445-0C87EB9F89A2}">
              <ask:lineSketchStyleProps xmlns:ask="http://schemas.microsoft.com/office/drawing/2018/sketchyshapes" xmlns="" sd="1219033472">
                <a:prstGeom prst="rect">
                  <a:avLst/>
                </a:prstGeom>
                <ask:type>
                  <ask:lineSketchScribble/>
                </ask:type>
              </ask:lineSketchStyleProps>
            </a:ext>
          </a:extLst>
        </a:ln>
        <a:effectLst>
          <a:outerShdw blurRad="50800" dist="38100" dir="2700000" algn="tl" rotWithShape="0">
            <a:prstClr val="black">
              <a:alpha val="40000"/>
            </a:prstClr>
          </a:outerShdw>
        </a:effectLst>
      </xdr:spPr>
    </xdr:pic>
    <xdr:clientData/>
  </xdr:oneCellAnchor>
  <xdr:twoCellAnchor>
    <xdr:from>
      <xdr:col>2</xdr:col>
      <xdr:colOff>683749</xdr:colOff>
      <xdr:row>87</xdr:row>
      <xdr:rowOff>154964</xdr:rowOff>
    </xdr:from>
    <xdr:to>
      <xdr:col>8</xdr:col>
      <xdr:colOff>679899</xdr:colOff>
      <xdr:row>108</xdr:row>
      <xdr:rowOff>38485</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10</xdr:col>
      <xdr:colOff>516373</xdr:colOff>
      <xdr:row>77</xdr:row>
      <xdr:rowOff>151953</xdr:rowOff>
    </xdr:from>
    <xdr:ext cx="14568070" cy="7324531"/>
    <xdr:pic>
      <xdr:nvPicPr>
        <xdr:cNvPr id="5" name="Picture 4" descr="Image">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3173173" y="25031253"/>
          <a:ext cx="14568070" cy="7324531"/>
        </a:xfrm>
        <a:custGeom>
          <a:avLst/>
          <a:gdLst>
            <a:gd name="connsiteX0" fmla="*/ 0 w 14568070"/>
            <a:gd name="connsiteY0" fmla="*/ 0 h 7324531"/>
            <a:gd name="connsiteX1" fmla="*/ 437042 w 14568070"/>
            <a:gd name="connsiteY1" fmla="*/ 0 h 7324531"/>
            <a:gd name="connsiteX2" fmla="*/ 582723 w 14568070"/>
            <a:gd name="connsiteY2" fmla="*/ 0 h 7324531"/>
            <a:gd name="connsiteX3" fmla="*/ 1456807 w 14568070"/>
            <a:gd name="connsiteY3" fmla="*/ 0 h 7324531"/>
            <a:gd name="connsiteX4" fmla="*/ 1893849 w 14568070"/>
            <a:gd name="connsiteY4" fmla="*/ 0 h 7324531"/>
            <a:gd name="connsiteX5" fmla="*/ 2330891 w 14568070"/>
            <a:gd name="connsiteY5" fmla="*/ 0 h 7324531"/>
            <a:gd name="connsiteX6" fmla="*/ 3204975 w 14568070"/>
            <a:gd name="connsiteY6" fmla="*/ 0 h 7324531"/>
            <a:gd name="connsiteX7" fmla="*/ 3496337 w 14568070"/>
            <a:gd name="connsiteY7" fmla="*/ 0 h 7324531"/>
            <a:gd name="connsiteX8" fmla="*/ 4370421 w 14568070"/>
            <a:gd name="connsiteY8" fmla="*/ 0 h 7324531"/>
            <a:gd name="connsiteX9" fmla="*/ 5244505 w 14568070"/>
            <a:gd name="connsiteY9" fmla="*/ 0 h 7324531"/>
            <a:gd name="connsiteX10" fmla="*/ 5827228 w 14568070"/>
            <a:gd name="connsiteY10" fmla="*/ 0 h 7324531"/>
            <a:gd name="connsiteX11" fmla="*/ 6701312 w 14568070"/>
            <a:gd name="connsiteY11" fmla="*/ 0 h 7324531"/>
            <a:gd name="connsiteX12" fmla="*/ 7138354 w 14568070"/>
            <a:gd name="connsiteY12" fmla="*/ 0 h 7324531"/>
            <a:gd name="connsiteX13" fmla="*/ 7575396 w 14568070"/>
            <a:gd name="connsiteY13" fmla="*/ 0 h 7324531"/>
            <a:gd name="connsiteX14" fmla="*/ 8303800 w 14568070"/>
            <a:gd name="connsiteY14" fmla="*/ 0 h 7324531"/>
            <a:gd name="connsiteX15" fmla="*/ 8740842 w 14568070"/>
            <a:gd name="connsiteY15" fmla="*/ 0 h 7324531"/>
            <a:gd name="connsiteX16" fmla="*/ 9614926 w 14568070"/>
            <a:gd name="connsiteY16" fmla="*/ 0 h 7324531"/>
            <a:gd name="connsiteX17" fmla="*/ 10489010 w 14568070"/>
            <a:gd name="connsiteY17" fmla="*/ 0 h 7324531"/>
            <a:gd name="connsiteX18" fmla="*/ 11071733 w 14568070"/>
            <a:gd name="connsiteY18" fmla="*/ 0 h 7324531"/>
            <a:gd name="connsiteX19" fmla="*/ 11508775 w 14568070"/>
            <a:gd name="connsiteY19" fmla="*/ 0 h 7324531"/>
            <a:gd name="connsiteX20" fmla="*/ 11654456 w 14568070"/>
            <a:gd name="connsiteY20" fmla="*/ 0 h 7324531"/>
            <a:gd name="connsiteX21" fmla="*/ 11945817 w 14568070"/>
            <a:gd name="connsiteY21" fmla="*/ 0 h 7324531"/>
            <a:gd name="connsiteX22" fmla="*/ 12237179 w 14568070"/>
            <a:gd name="connsiteY22" fmla="*/ 0 h 7324531"/>
            <a:gd name="connsiteX23" fmla="*/ 12674221 w 14568070"/>
            <a:gd name="connsiteY23" fmla="*/ 0 h 7324531"/>
            <a:gd name="connsiteX24" fmla="*/ 13548305 w 14568070"/>
            <a:gd name="connsiteY24" fmla="*/ 0 h 7324531"/>
            <a:gd name="connsiteX25" fmla="*/ 14568070 w 14568070"/>
            <a:gd name="connsiteY25" fmla="*/ 0 h 7324531"/>
            <a:gd name="connsiteX26" fmla="*/ 14568070 w 14568070"/>
            <a:gd name="connsiteY26" fmla="*/ 490180 h 7324531"/>
            <a:gd name="connsiteX27" fmla="*/ 14568070 w 14568070"/>
            <a:gd name="connsiteY27" fmla="*/ 1053606 h 7324531"/>
            <a:gd name="connsiteX28" fmla="*/ 14568070 w 14568070"/>
            <a:gd name="connsiteY28" fmla="*/ 1763522 h 7324531"/>
            <a:gd name="connsiteX29" fmla="*/ 14568070 w 14568070"/>
            <a:gd name="connsiteY29" fmla="*/ 2400192 h 7324531"/>
            <a:gd name="connsiteX30" fmla="*/ 14568070 w 14568070"/>
            <a:gd name="connsiteY30" fmla="*/ 2743882 h 7324531"/>
            <a:gd name="connsiteX31" fmla="*/ 14568070 w 14568070"/>
            <a:gd name="connsiteY31" fmla="*/ 3234062 h 7324531"/>
            <a:gd name="connsiteX32" fmla="*/ 14568070 w 14568070"/>
            <a:gd name="connsiteY32" fmla="*/ 3943978 h 7324531"/>
            <a:gd name="connsiteX33" fmla="*/ 14568070 w 14568070"/>
            <a:gd name="connsiteY33" fmla="*/ 4507404 h 7324531"/>
            <a:gd name="connsiteX34" fmla="*/ 14568070 w 14568070"/>
            <a:gd name="connsiteY34" fmla="*/ 5144074 h 7324531"/>
            <a:gd name="connsiteX35" fmla="*/ 14568070 w 14568070"/>
            <a:gd name="connsiteY35" fmla="*/ 5634255 h 7324531"/>
            <a:gd name="connsiteX36" fmla="*/ 14568070 w 14568070"/>
            <a:gd name="connsiteY36" fmla="*/ 6197680 h 7324531"/>
            <a:gd name="connsiteX37" fmla="*/ 14568070 w 14568070"/>
            <a:gd name="connsiteY37" fmla="*/ 7324531 h 7324531"/>
            <a:gd name="connsiteX38" fmla="*/ 14276709 w 14568070"/>
            <a:gd name="connsiteY38" fmla="*/ 7324531 h 7324531"/>
            <a:gd name="connsiteX39" fmla="*/ 14131028 w 14568070"/>
            <a:gd name="connsiteY39" fmla="*/ 7324531 h 7324531"/>
            <a:gd name="connsiteX40" fmla="*/ 13839667 w 14568070"/>
            <a:gd name="connsiteY40" fmla="*/ 7324531 h 7324531"/>
            <a:gd name="connsiteX41" fmla="*/ 13402624 w 14568070"/>
            <a:gd name="connsiteY41" fmla="*/ 7324531 h 7324531"/>
            <a:gd name="connsiteX42" fmla="*/ 12819902 w 14568070"/>
            <a:gd name="connsiteY42" fmla="*/ 7324531 h 7324531"/>
            <a:gd name="connsiteX43" fmla="*/ 12528540 w 14568070"/>
            <a:gd name="connsiteY43" fmla="*/ 7324531 h 7324531"/>
            <a:gd name="connsiteX44" fmla="*/ 11654456 w 14568070"/>
            <a:gd name="connsiteY44" fmla="*/ 7324531 h 7324531"/>
            <a:gd name="connsiteX45" fmla="*/ 11071733 w 14568070"/>
            <a:gd name="connsiteY45" fmla="*/ 7324531 h 7324531"/>
            <a:gd name="connsiteX46" fmla="*/ 10197649 w 14568070"/>
            <a:gd name="connsiteY46" fmla="*/ 7324531 h 7324531"/>
            <a:gd name="connsiteX47" fmla="*/ 9469246 w 14568070"/>
            <a:gd name="connsiteY47" fmla="*/ 7324531 h 7324531"/>
            <a:gd name="connsiteX48" fmla="*/ 9032203 w 14568070"/>
            <a:gd name="connsiteY48" fmla="*/ 7324531 h 7324531"/>
            <a:gd name="connsiteX49" fmla="*/ 8303800 w 14568070"/>
            <a:gd name="connsiteY49" fmla="*/ 7324531 h 7324531"/>
            <a:gd name="connsiteX50" fmla="*/ 8012439 w 14568070"/>
            <a:gd name="connsiteY50" fmla="*/ 7324531 h 7324531"/>
            <a:gd name="connsiteX51" fmla="*/ 7429716 w 14568070"/>
            <a:gd name="connsiteY51" fmla="*/ 7324531 h 7324531"/>
            <a:gd name="connsiteX52" fmla="*/ 7284035 w 14568070"/>
            <a:gd name="connsiteY52" fmla="*/ 7324531 h 7324531"/>
            <a:gd name="connsiteX53" fmla="*/ 6409951 w 14568070"/>
            <a:gd name="connsiteY53" fmla="*/ 7324531 h 7324531"/>
            <a:gd name="connsiteX54" fmla="*/ 5827228 w 14568070"/>
            <a:gd name="connsiteY54" fmla="*/ 7324531 h 7324531"/>
            <a:gd name="connsiteX55" fmla="*/ 4953144 w 14568070"/>
            <a:gd name="connsiteY55" fmla="*/ 7324531 h 7324531"/>
            <a:gd name="connsiteX56" fmla="*/ 4516102 w 14568070"/>
            <a:gd name="connsiteY56" fmla="*/ 7324531 h 7324531"/>
            <a:gd name="connsiteX57" fmla="*/ 4224740 w 14568070"/>
            <a:gd name="connsiteY57" fmla="*/ 7324531 h 7324531"/>
            <a:gd name="connsiteX58" fmla="*/ 3642017 w 14568070"/>
            <a:gd name="connsiteY58" fmla="*/ 7324531 h 7324531"/>
            <a:gd name="connsiteX59" fmla="*/ 2913614 w 14568070"/>
            <a:gd name="connsiteY59" fmla="*/ 7324531 h 7324531"/>
            <a:gd name="connsiteX60" fmla="*/ 2039530 w 14568070"/>
            <a:gd name="connsiteY60" fmla="*/ 7324531 h 7324531"/>
            <a:gd name="connsiteX61" fmla="*/ 1311126 w 14568070"/>
            <a:gd name="connsiteY61" fmla="*/ 7324531 h 7324531"/>
            <a:gd name="connsiteX62" fmla="*/ 0 w 14568070"/>
            <a:gd name="connsiteY62" fmla="*/ 7324531 h 7324531"/>
            <a:gd name="connsiteX63" fmla="*/ 0 w 14568070"/>
            <a:gd name="connsiteY63" fmla="*/ 6687860 h 7324531"/>
            <a:gd name="connsiteX64" fmla="*/ 0 w 14568070"/>
            <a:gd name="connsiteY64" fmla="*/ 6197680 h 7324531"/>
            <a:gd name="connsiteX65" fmla="*/ 0 w 14568070"/>
            <a:gd name="connsiteY65" fmla="*/ 5707500 h 7324531"/>
            <a:gd name="connsiteX66" fmla="*/ 0 w 14568070"/>
            <a:gd name="connsiteY66" fmla="*/ 5070829 h 7324531"/>
            <a:gd name="connsiteX67" fmla="*/ 0 w 14568070"/>
            <a:gd name="connsiteY67" fmla="*/ 4507404 h 7324531"/>
            <a:gd name="connsiteX68" fmla="*/ 0 w 14568070"/>
            <a:gd name="connsiteY68" fmla="*/ 4163714 h 7324531"/>
            <a:gd name="connsiteX69" fmla="*/ 0 w 14568070"/>
            <a:gd name="connsiteY69" fmla="*/ 3673534 h 7324531"/>
            <a:gd name="connsiteX70" fmla="*/ 0 w 14568070"/>
            <a:gd name="connsiteY70" fmla="*/ 3036863 h 7324531"/>
            <a:gd name="connsiteX71" fmla="*/ 0 w 14568070"/>
            <a:gd name="connsiteY71" fmla="*/ 2619928 h 7324531"/>
            <a:gd name="connsiteX72" fmla="*/ 0 w 14568070"/>
            <a:gd name="connsiteY72" fmla="*/ 1910012 h 7324531"/>
            <a:gd name="connsiteX73" fmla="*/ 0 w 14568070"/>
            <a:gd name="connsiteY73" fmla="*/ 1200096 h 7324531"/>
            <a:gd name="connsiteX74" fmla="*/ 0 w 14568070"/>
            <a:gd name="connsiteY74" fmla="*/ 636671 h 7324531"/>
            <a:gd name="connsiteX75" fmla="*/ 0 w 14568070"/>
            <a:gd name="connsiteY75" fmla="*/ 0 h 732453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Lst>
          <a:rect l="l" t="t" r="r" b="b"/>
          <a:pathLst>
            <a:path w="14568070" h="7324531" extrusionOk="0">
              <a:moveTo>
                <a:pt x="0" y="0"/>
              </a:moveTo>
              <a:cubicBezTo>
                <a:pt x="159036" y="-28496"/>
                <a:pt x="229368" y="43223"/>
                <a:pt x="437042" y="0"/>
              </a:cubicBezTo>
              <a:cubicBezTo>
                <a:pt x="644716" y="-43223"/>
                <a:pt x="528369" y="8807"/>
                <a:pt x="582723" y="0"/>
              </a:cubicBezTo>
              <a:cubicBezTo>
                <a:pt x="637077" y="-8807"/>
                <a:pt x="1120836" y="88092"/>
                <a:pt x="1456807" y="0"/>
              </a:cubicBezTo>
              <a:cubicBezTo>
                <a:pt x="1792778" y="-88092"/>
                <a:pt x="1795523" y="43470"/>
                <a:pt x="1893849" y="0"/>
              </a:cubicBezTo>
              <a:cubicBezTo>
                <a:pt x="1992175" y="-43470"/>
                <a:pt x="2114946" y="11787"/>
                <a:pt x="2330891" y="0"/>
              </a:cubicBezTo>
              <a:cubicBezTo>
                <a:pt x="2546836" y="-11787"/>
                <a:pt x="3002246" y="73058"/>
                <a:pt x="3204975" y="0"/>
              </a:cubicBezTo>
              <a:cubicBezTo>
                <a:pt x="3407704" y="-73058"/>
                <a:pt x="3399079" y="31635"/>
                <a:pt x="3496337" y="0"/>
              </a:cubicBezTo>
              <a:cubicBezTo>
                <a:pt x="3593595" y="-31635"/>
                <a:pt x="4168178" y="42253"/>
                <a:pt x="4370421" y="0"/>
              </a:cubicBezTo>
              <a:cubicBezTo>
                <a:pt x="4572664" y="-42253"/>
                <a:pt x="5026389" y="35975"/>
                <a:pt x="5244505" y="0"/>
              </a:cubicBezTo>
              <a:cubicBezTo>
                <a:pt x="5462621" y="-35975"/>
                <a:pt x="5665116" y="30022"/>
                <a:pt x="5827228" y="0"/>
              </a:cubicBezTo>
              <a:cubicBezTo>
                <a:pt x="5989340" y="-30022"/>
                <a:pt x="6388670" y="59080"/>
                <a:pt x="6701312" y="0"/>
              </a:cubicBezTo>
              <a:cubicBezTo>
                <a:pt x="7013954" y="-59080"/>
                <a:pt x="6938657" y="1664"/>
                <a:pt x="7138354" y="0"/>
              </a:cubicBezTo>
              <a:cubicBezTo>
                <a:pt x="7338051" y="-1664"/>
                <a:pt x="7418318" y="28014"/>
                <a:pt x="7575396" y="0"/>
              </a:cubicBezTo>
              <a:cubicBezTo>
                <a:pt x="7732474" y="-28014"/>
                <a:pt x="7982526" y="71723"/>
                <a:pt x="8303800" y="0"/>
              </a:cubicBezTo>
              <a:cubicBezTo>
                <a:pt x="8625074" y="-71723"/>
                <a:pt x="8546744" y="19356"/>
                <a:pt x="8740842" y="0"/>
              </a:cubicBezTo>
              <a:cubicBezTo>
                <a:pt x="8934940" y="-19356"/>
                <a:pt x="9390664" y="102445"/>
                <a:pt x="9614926" y="0"/>
              </a:cubicBezTo>
              <a:cubicBezTo>
                <a:pt x="9839188" y="-102445"/>
                <a:pt x="10163212" y="72754"/>
                <a:pt x="10489010" y="0"/>
              </a:cubicBezTo>
              <a:cubicBezTo>
                <a:pt x="10814808" y="-72754"/>
                <a:pt x="10844398" y="60488"/>
                <a:pt x="11071733" y="0"/>
              </a:cubicBezTo>
              <a:cubicBezTo>
                <a:pt x="11299068" y="-60488"/>
                <a:pt x="11321926" y="47004"/>
                <a:pt x="11508775" y="0"/>
              </a:cubicBezTo>
              <a:cubicBezTo>
                <a:pt x="11695624" y="-47004"/>
                <a:pt x="11616369" y="2321"/>
                <a:pt x="11654456" y="0"/>
              </a:cubicBezTo>
              <a:cubicBezTo>
                <a:pt x="11692543" y="-2321"/>
                <a:pt x="11851420" y="29388"/>
                <a:pt x="11945817" y="0"/>
              </a:cubicBezTo>
              <a:cubicBezTo>
                <a:pt x="12040214" y="-29388"/>
                <a:pt x="12117785" y="5929"/>
                <a:pt x="12237179" y="0"/>
              </a:cubicBezTo>
              <a:cubicBezTo>
                <a:pt x="12356573" y="-5929"/>
                <a:pt x="12459234" y="48197"/>
                <a:pt x="12674221" y="0"/>
              </a:cubicBezTo>
              <a:cubicBezTo>
                <a:pt x="12889208" y="-48197"/>
                <a:pt x="13279629" y="91464"/>
                <a:pt x="13548305" y="0"/>
              </a:cubicBezTo>
              <a:cubicBezTo>
                <a:pt x="13816981" y="-91464"/>
                <a:pt x="14130403" y="94338"/>
                <a:pt x="14568070" y="0"/>
              </a:cubicBezTo>
              <a:cubicBezTo>
                <a:pt x="14594774" y="184287"/>
                <a:pt x="14547536" y="274179"/>
                <a:pt x="14568070" y="490180"/>
              </a:cubicBezTo>
              <a:cubicBezTo>
                <a:pt x="14588604" y="706181"/>
                <a:pt x="14512572" y="906892"/>
                <a:pt x="14568070" y="1053606"/>
              </a:cubicBezTo>
              <a:cubicBezTo>
                <a:pt x="14623568" y="1200320"/>
                <a:pt x="14515058" y="1558027"/>
                <a:pt x="14568070" y="1763522"/>
              </a:cubicBezTo>
              <a:cubicBezTo>
                <a:pt x="14621082" y="1969017"/>
                <a:pt x="14540423" y="2227558"/>
                <a:pt x="14568070" y="2400192"/>
              </a:cubicBezTo>
              <a:cubicBezTo>
                <a:pt x="14595717" y="2572826"/>
                <a:pt x="14533550" y="2655526"/>
                <a:pt x="14568070" y="2743882"/>
              </a:cubicBezTo>
              <a:cubicBezTo>
                <a:pt x="14602590" y="2832238"/>
                <a:pt x="14510050" y="3042665"/>
                <a:pt x="14568070" y="3234062"/>
              </a:cubicBezTo>
              <a:cubicBezTo>
                <a:pt x="14626090" y="3425459"/>
                <a:pt x="14500627" y="3631329"/>
                <a:pt x="14568070" y="3943978"/>
              </a:cubicBezTo>
              <a:cubicBezTo>
                <a:pt x="14635513" y="4256627"/>
                <a:pt x="14532726" y="4368509"/>
                <a:pt x="14568070" y="4507404"/>
              </a:cubicBezTo>
              <a:cubicBezTo>
                <a:pt x="14603414" y="4646299"/>
                <a:pt x="14534237" y="4899442"/>
                <a:pt x="14568070" y="5144074"/>
              </a:cubicBezTo>
              <a:cubicBezTo>
                <a:pt x="14601903" y="5388706"/>
                <a:pt x="14562443" y="5392445"/>
                <a:pt x="14568070" y="5634255"/>
              </a:cubicBezTo>
              <a:cubicBezTo>
                <a:pt x="14573697" y="5876065"/>
                <a:pt x="14539038" y="6048035"/>
                <a:pt x="14568070" y="6197680"/>
              </a:cubicBezTo>
              <a:cubicBezTo>
                <a:pt x="14597102" y="6347325"/>
                <a:pt x="14469847" y="6908449"/>
                <a:pt x="14568070" y="7324531"/>
              </a:cubicBezTo>
              <a:cubicBezTo>
                <a:pt x="14478370" y="7329902"/>
                <a:pt x="14353184" y="7294629"/>
                <a:pt x="14276709" y="7324531"/>
              </a:cubicBezTo>
              <a:cubicBezTo>
                <a:pt x="14200234" y="7354433"/>
                <a:pt x="14167451" y="7311411"/>
                <a:pt x="14131028" y="7324531"/>
              </a:cubicBezTo>
              <a:cubicBezTo>
                <a:pt x="14094605" y="7337651"/>
                <a:pt x="13934176" y="7303158"/>
                <a:pt x="13839667" y="7324531"/>
              </a:cubicBezTo>
              <a:cubicBezTo>
                <a:pt x="13745158" y="7345904"/>
                <a:pt x="13587242" y="7292725"/>
                <a:pt x="13402624" y="7324531"/>
              </a:cubicBezTo>
              <a:cubicBezTo>
                <a:pt x="13218006" y="7356337"/>
                <a:pt x="13087555" y="7273048"/>
                <a:pt x="12819902" y="7324531"/>
              </a:cubicBezTo>
              <a:cubicBezTo>
                <a:pt x="12552249" y="7376014"/>
                <a:pt x="12632343" y="7297041"/>
                <a:pt x="12528540" y="7324531"/>
              </a:cubicBezTo>
              <a:cubicBezTo>
                <a:pt x="12424737" y="7352021"/>
                <a:pt x="11876710" y="7238123"/>
                <a:pt x="11654456" y="7324531"/>
              </a:cubicBezTo>
              <a:cubicBezTo>
                <a:pt x="11432202" y="7410939"/>
                <a:pt x="11295433" y="7258484"/>
                <a:pt x="11071733" y="7324531"/>
              </a:cubicBezTo>
              <a:cubicBezTo>
                <a:pt x="10848033" y="7390578"/>
                <a:pt x="10632432" y="7291770"/>
                <a:pt x="10197649" y="7324531"/>
              </a:cubicBezTo>
              <a:cubicBezTo>
                <a:pt x="9762866" y="7357292"/>
                <a:pt x="9625996" y="7313771"/>
                <a:pt x="9469246" y="7324531"/>
              </a:cubicBezTo>
              <a:cubicBezTo>
                <a:pt x="9312496" y="7335291"/>
                <a:pt x="9176533" y="7281724"/>
                <a:pt x="9032203" y="7324531"/>
              </a:cubicBezTo>
              <a:cubicBezTo>
                <a:pt x="8887873" y="7367338"/>
                <a:pt x="8508993" y="7293445"/>
                <a:pt x="8303800" y="7324531"/>
              </a:cubicBezTo>
              <a:cubicBezTo>
                <a:pt x="8098607" y="7355617"/>
                <a:pt x="8096420" y="7304425"/>
                <a:pt x="8012439" y="7324531"/>
              </a:cubicBezTo>
              <a:cubicBezTo>
                <a:pt x="7928458" y="7344637"/>
                <a:pt x="7608921" y="7323042"/>
                <a:pt x="7429716" y="7324531"/>
              </a:cubicBezTo>
              <a:cubicBezTo>
                <a:pt x="7250511" y="7326020"/>
                <a:pt x="7325976" y="7316180"/>
                <a:pt x="7284035" y="7324531"/>
              </a:cubicBezTo>
              <a:cubicBezTo>
                <a:pt x="7242094" y="7332882"/>
                <a:pt x="6598769" y="7242804"/>
                <a:pt x="6409951" y="7324531"/>
              </a:cubicBezTo>
              <a:cubicBezTo>
                <a:pt x="6221133" y="7406258"/>
                <a:pt x="6077651" y="7300913"/>
                <a:pt x="5827228" y="7324531"/>
              </a:cubicBezTo>
              <a:cubicBezTo>
                <a:pt x="5576805" y="7348149"/>
                <a:pt x="5212355" y="7250606"/>
                <a:pt x="4953144" y="7324531"/>
              </a:cubicBezTo>
              <a:cubicBezTo>
                <a:pt x="4693933" y="7398456"/>
                <a:pt x="4604665" y="7321426"/>
                <a:pt x="4516102" y="7324531"/>
              </a:cubicBezTo>
              <a:cubicBezTo>
                <a:pt x="4427539" y="7327636"/>
                <a:pt x="4353108" y="7302091"/>
                <a:pt x="4224740" y="7324531"/>
              </a:cubicBezTo>
              <a:cubicBezTo>
                <a:pt x="4096372" y="7346971"/>
                <a:pt x="3870218" y="7255586"/>
                <a:pt x="3642017" y="7324531"/>
              </a:cubicBezTo>
              <a:cubicBezTo>
                <a:pt x="3413816" y="7393476"/>
                <a:pt x="3177393" y="7300032"/>
                <a:pt x="2913614" y="7324531"/>
              </a:cubicBezTo>
              <a:cubicBezTo>
                <a:pt x="2649835" y="7349030"/>
                <a:pt x="2237220" y="7263433"/>
                <a:pt x="2039530" y="7324531"/>
              </a:cubicBezTo>
              <a:cubicBezTo>
                <a:pt x="1841840" y="7385629"/>
                <a:pt x="1481442" y="7249752"/>
                <a:pt x="1311126" y="7324531"/>
              </a:cubicBezTo>
              <a:cubicBezTo>
                <a:pt x="1140810" y="7399310"/>
                <a:pt x="486073" y="7179683"/>
                <a:pt x="0" y="7324531"/>
              </a:cubicBezTo>
              <a:cubicBezTo>
                <a:pt x="-49624" y="7164293"/>
                <a:pt x="68566" y="6956899"/>
                <a:pt x="0" y="6687860"/>
              </a:cubicBezTo>
              <a:cubicBezTo>
                <a:pt x="-68566" y="6418821"/>
                <a:pt x="20856" y="6435553"/>
                <a:pt x="0" y="6197680"/>
              </a:cubicBezTo>
              <a:cubicBezTo>
                <a:pt x="-20856" y="5959807"/>
                <a:pt x="2591" y="5901943"/>
                <a:pt x="0" y="5707500"/>
              </a:cubicBezTo>
              <a:cubicBezTo>
                <a:pt x="-2591" y="5513057"/>
                <a:pt x="72536" y="5271188"/>
                <a:pt x="0" y="5070829"/>
              </a:cubicBezTo>
              <a:cubicBezTo>
                <a:pt x="-72536" y="4870470"/>
                <a:pt x="62924" y="4672832"/>
                <a:pt x="0" y="4507404"/>
              </a:cubicBezTo>
              <a:cubicBezTo>
                <a:pt x="-62924" y="4341977"/>
                <a:pt x="15281" y="4287028"/>
                <a:pt x="0" y="4163714"/>
              </a:cubicBezTo>
              <a:cubicBezTo>
                <a:pt x="-15281" y="4040400"/>
                <a:pt x="16435" y="3799260"/>
                <a:pt x="0" y="3673534"/>
              </a:cubicBezTo>
              <a:cubicBezTo>
                <a:pt x="-16435" y="3547808"/>
                <a:pt x="67260" y="3214705"/>
                <a:pt x="0" y="3036863"/>
              </a:cubicBezTo>
              <a:cubicBezTo>
                <a:pt x="-67260" y="2859021"/>
                <a:pt x="18708" y="2759765"/>
                <a:pt x="0" y="2619928"/>
              </a:cubicBezTo>
              <a:cubicBezTo>
                <a:pt x="-18708" y="2480091"/>
                <a:pt x="68052" y="2148167"/>
                <a:pt x="0" y="1910012"/>
              </a:cubicBezTo>
              <a:cubicBezTo>
                <a:pt x="-68052" y="1671857"/>
                <a:pt x="38874" y="1343970"/>
                <a:pt x="0" y="1200096"/>
              </a:cubicBezTo>
              <a:cubicBezTo>
                <a:pt x="-38874" y="1056222"/>
                <a:pt x="41900" y="867338"/>
                <a:pt x="0" y="636671"/>
              </a:cubicBezTo>
              <a:cubicBezTo>
                <a:pt x="-41900" y="406004"/>
                <a:pt x="5059" y="278004"/>
                <a:pt x="0" y="0"/>
              </a:cubicBezTo>
              <a:close/>
            </a:path>
          </a:pathLst>
        </a:custGeom>
        <a:noFill/>
        <a:ln w="38100">
          <a:solidFill>
            <a:schemeClr val="tx1"/>
          </a:solidFill>
          <a:extLst>
            <a:ext uri="{C807C97D-BFC1-408E-A445-0C87EB9F89A2}">
              <ask:lineSketchStyleProps xmlns:ask="http://schemas.microsoft.com/office/drawing/2018/sketchyshapes" xmlns="" sd="1219033472">
                <a:prstGeom prst="rect">
                  <a:avLst/>
                </a:prstGeom>
                <ask:type>
                  <ask:lineSketchScribble/>
                </ask:type>
              </ask:lineSketchStyleProps>
            </a:ext>
          </a:extLst>
        </a:ln>
        <a:effectLst>
          <a:outerShdw blurRad="50800" dist="38100" dir="2700000" algn="tl"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oneCellAnchor>
  <xdr:twoCellAnchor>
    <xdr:from>
      <xdr:col>0</xdr:col>
      <xdr:colOff>758026</xdr:colOff>
      <xdr:row>18</xdr:row>
      <xdr:rowOff>8346</xdr:rowOff>
    </xdr:from>
    <xdr:to>
      <xdr:col>1</xdr:col>
      <xdr:colOff>54427</xdr:colOff>
      <xdr:row>32</xdr:row>
      <xdr:rowOff>290285</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758026" y="8299632"/>
          <a:ext cx="10381687" cy="4872082"/>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t>This tab gives an overview of how heat enters the house from the hot water flowing through the radiators. </a:t>
          </a:r>
        </a:p>
        <a:p>
          <a:endParaRPr lang="en-GB" sz="2400" baseline="0"/>
        </a:p>
        <a:p>
          <a:r>
            <a:rPr lang="en-GB" sz="2400" baseline="0"/>
            <a:t>The table shows how:</a:t>
          </a:r>
        </a:p>
        <a:p>
          <a:endParaRPr lang="en-GB" sz="2400" baseline="0"/>
        </a:p>
        <a:p>
          <a:r>
            <a:rPr lang="en-GB" sz="2400" baseline="0"/>
            <a:t>(a) the type of radiator and </a:t>
          </a:r>
        </a:p>
        <a:p>
          <a:r>
            <a:rPr lang="en-GB" sz="2400" baseline="0"/>
            <a:t>(b) the area of radiators </a:t>
          </a:r>
        </a:p>
        <a:p>
          <a:endParaRPr lang="en-GB" sz="2400" baseline="0"/>
        </a:p>
        <a:p>
          <a:r>
            <a:rPr lang="en-GB" sz="2400" baseline="0"/>
            <a:t>affects the flow temperature of the water in the radiators that is necessary to deliver the required heat to your home.</a:t>
          </a:r>
        </a:p>
        <a:p>
          <a:endParaRPr lang="en-GB" sz="2400" baseline="0"/>
        </a:p>
        <a:p>
          <a:r>
            <a:rPr lang="en-GB" sz="2400" baseline="0"/>
            <a:t>This assumes (for simplicitly) that all radiators are of the same type.</a:t>
          </a:r>
        </a:p>
      </xdr:txBody>
    </xdr:sp>
    <xdr:clientData/>
  </xdr:twoCellAnchor>
  <xdr:twoCellAnchor>
    <xdr:from>
      <xdr:col>8</xdr:col>
      <xdr:colOff>158750</xdr:colOff>
      <xdr:row>12</xdr:row>
      <xdr:rowOff>86591</xdr:rowOff>
    </xdr:from>
    <xdr:to>
      <xdr:col>8</xdr:col>
      <xdr:colOff>1053970</xdr:colOff>
      <xdr:row>12</xdr:row>
      <xdr:rowOff>2078182</xdr:rowOff>
    </xdr:to>
    <xdr:pic>
      <xdr:nvPicPr>
        <xdr:cNvPr id="7" name="Picture 6" descr="Image">
          <a:extLst>
            <a:ext uri="{FF2B5EF4-FFF2-40B4-BE49-F238E27FC236}">
              <a16:creationId xmlns:a16="http://schemas.microsoft.com/office/drawing/2014/main" id="{00000000-0008-0000-0400-000007000000}"/>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81693" t="2399" r="3455" b="12618"/>
        <a:stretch/>
      </xdr:blipFill>
      <xdr:spPr bwMode="auto">
        <a:xfrm>
          <a:off x="20427950" y="4595091"/>
          <a:ext cx="895220" cy="1991591"/>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226537</xdr:colOff>
      <xdr:row>12</xdr:row>
      <xdr:rowOff>57728</xdr:rowOff>
    </xdr:from>
    <xdr:to>
      <xdr:col>7</xdr:col>
      <xdr:colOff>1154192</xdr:colOff>
      <xdr:row>12</xdr:row>
      <xdr:rowOff>2121478</xdr:rowOff>
    </xdr:to>
    <xdr:pic>
      <xdr:nvPicPr>
        <xdr:cNvPr id="8" name="Picture 7" descr="Image">
          <a:extLst>
            <a:ext uri="{FF2B5EF4-FFF2-40B4-BE49-F238E27FC236}">
              <a16:creationId xmlns:a16="http://schemas.microsoft.com/office/drawing/2014/main" id="{00000000-0008-0000-0400-000008000000}"/>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64192" t="2061" r="20956" b="12956"/>
        <a:stretch/>
      </xdr:blipFill>
      <xdr:spPr bwMode="auto">
        <a:xfrm>
          <a:off x="19174937" y="4566228"/>
          <a:ext cx="927655" cy="20637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245341</xdr:colOff>
      <xdr:row>12</xdr:row>
      <xdr:rowOff>14432</xdr:rowOff>
    </xdr:from>
    <xdr:to>
      <xdr:col>4</xdr:col>
      <xdr:colOff>932854</xdr:colOff>
      <xdr:row>12</xdr:row>
      <xdr:rowOff>2121477</xdr:rowOff>
    </xdr:to>
    <xdr:pic>
      <xdr:nvPicPr>
        <xdr:cNvPr id="9" name="Picture 8" descr="Image">
          <a:extLst>
            <a:ext uri="{FF2B5EF4-FFF2-40B4-BE49-F238E27FC236}">
              <a16:creationId xmlns:a16="http://schemas.microsoft.com/office/drawing/2014/main" id="{00000000-0008-0000-0400-000009000000}"/>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084" t="2061" r="88135" b="12956"/>
        <a:stretch/>
      </xdr:blipFill>
      <xdr:spPr bwMode="auto">
        <a:xfrm>
          <a:off x="15231341" y="4522932"/>
          <a:ext cx="687513" cy="2107045"/>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5</xdr:col>
      <xdr:colOff>86591</xdr:colOff>
      <xdr:row>12</xdr:row>
      <xdr:rowOff>86592</xdr:rowOff>
    </xdr:from>
    <xdr:to>
      <xdr:col>5</xdr:col>
      <xdr:colOff>1020734</xdr:colOff>
      <xdr:row>13</xdr:row>
      <xdr:rowOff>14433</xdr:rowOff>
    </xdr:to>
    <xdr:pic>
      <xdr:nvPicPr>
        <xdr:cNvPr id="10" name="Picture 9" descr="Image">
          <a:extLst>
            <a:ext uri="{FF2B5EF4-FFF2-40B4-BE49-F238E27FC236}">
              <a16:creationId xmlns:a16="http://schemas.microsoft.com/office/drawing/2014/main" id="{00000000-0008-0000-0400-00000A000000}"/>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3069" t="2399" r="72079" b="12618"/>
        <a:stretch/>
      </xdr:blipFill>
      <xdr:spPr bwMode="auto">
        <a:xfrm>
          <a:off x="16393391" y="4595092"/>
          <a:ext cx="934143" cy="2048741"/>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245341</xdr:colOff>
      <xdr:row>12</xdr:row>
      <xdr:rowOff>86591</xdr:rowOff>
    </xdr:from>
    <xdr:to>
      <xdr:col>6</xdr:col>
      <xdr:colOff>1147048</xdr:colOff>
      <xdr:row>12</xdr:row>
      <xdr:rowOff>2092614</xdr:rowOff>
    </xdr:to>
    <xdr:pic>
      <xdr:nvPicPr>
        <xdr:cNvPr id="11" name="Picture 10" descr="Image">
          <a:extLst>
            <a:ext uri="{FF2B5EF4-FFF2-40B4-BE49-F238E27FC236}">
              <a16:creationId xmlns:a16="http://schemas.microsoft.com/office/drawing/2014/main" id="{00000000-0008-0000-0400-00000B000000}"/>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30479" t="2061" r="54669" b="12956"/>
        <a:stretch/>
      </xdr:blipFill>
      <xdr:spPr bwMode="auto">
        <a:xfrm>
          <a:off x="17872941" y="4595091"/>
          <a:ext cx="901707" cy="2006023"/>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c:userShapes xmlns:c="http://schemas.openxmlformats.org/drawingml/2006/chart">
  <cdr:relSizeAnchor xmlns:cdr="http://schemas.openxmlformats.org/drawingml/2006/chartDrawing">
    <cdr:from>
      <cdr:x>0.1619</cdr:x>
      <cdr:y>0.32697</cdr:y>
    </cdr:from>
    <cdr:to>
      <cdr:x>0.28255</cdr:x>
      <cdr:y>0.42985</cdr:y>
    </cdr:to>
    <cdr:sp macro="" textlink="">
      <cdr:nvSpPr>
        <cdr:cNvPr id="2" name="TextBox 1">
          <a:extLst xmlns:a="http://schemas.openxmlformats.org/drawingml/2006/main">
            <a:ext uri="{FF2B5EF4-FFF2-40B4-BE49-F238E27FC236}">
              <a16:creationId xmlns:a16="http://schemas.microsoft.com/office/drawing/2014/main" id="{66261623-0CB8-F7A2-4704-271DE67F9F80}"/>
            </a:ext>
          </a:extLst>
        </cdr:cNvPr>
        <cdr:cNvSpPr txBox="1"/>
      </cdr:nvSpPr>
      <cdr:spPr>
        <a:xfrm xmlns:a="http://schemas.openxmlformats.org/drawingml/2006/main">
          <a:off x="740191" y="896955"/>
          <a:ext cx="551616" cy="28222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1100"/>
            <a:t>Slope = </a:t>
          </a:r>
        </a:p>
      </cdr:txBody>
    </cdr:sp>
  </cdr:relSizeAnchor>
  <cdr:relSizeAnchor xmlns:cdr="http://schemas.openxmlformats.org/drawingml/2006/chartDrawing">
    <cdr:from>
      <cdr:x>0.27615</cdr:x>
      <cdr:y>0.33034</cdr:y>
    </cdr:from>
    <cdr:to>
      <cdr:x>0.4032</cdr:x>
      <cdr:y>0.4205</cdr:y>
    </cdr:to>
    <cdr:sp macro="" textlink="'4. RADIATORS'!$H$68">
      <cdr:nvSpPr>
        <cdr:cNvPr id="3" name="TextBox 2">
          <a:extLst xmlns:a="http://schemas.openxmlformats.org/drawingml/2006/main">
            <a:ext uri="{FF2B5EF4-FFF2-40B4-BE49-F238E27FC236}">
              <a16:creationId xmlns:a16="http://schemas.microsoft.com/office/drawing/2014/main" id="{B349E083-FB48-A138-2257-1BA65EBF6F00}"/>
            </a:ext>
          </a:extLst>
        </cdr:cNvPr>
        <cdr:cNvSpPr txBox="1"/>
      </cdr:nvSpPr>
      <cdr:spPr>
        <a:xfrm xmlns:a="http://schemas.openxmlformats.org/drawingml/2006/main">
          <a:off x="1262559" y="906191"/>
          <a:ext cx="580864" cy="2473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fld id="{6FDCF131-B355-1647-AD13-C8CC664E6EB9}" type="TxLink">
            <a:rPr lang="en-US" sz="1100" b="0" i="0" u="none" strike="noStrike">
              <a:solidFill>
                <a:srgbClr val="000000"/>
              </a:solidFill>
              <a:latin typeface="Calibri"/>
              <a:cs typeface="Calibri"/>
            </a:rPr>
            <a:pPr/>
            <a:t>0,019</a:t>
          </a:fld>
          <a:endParaRPr lang="en-GB" sz="1100"/>
        </a:p>
      </cdr:txBody>
    </cdr:sp>
  </cdr:relSizeAnchor>
  <cdr:relSizeAnchor xmlns:cdr="http://schemas.openxmlformats.org/drawingml/2006/chartDrawing">
    <cdr:from>
      <cdr:x>0.35831</cdr:x>
      <cdr:y>0.33165</cdr:y>
    </cdr:from>
    <cdr:to>
      <cdr:x>0.47896</cdr:x>
      <cdr:y>0.43453</cdr:y>
    </cdr:to>
    <cdr:sp macro="" textlink="">
      <cdr:nvSpPr>
        <cdr:cNvPr id="4" name="TextBox 3">
          <a:extLst xmlns:a="http://schemas.openxmlformats.org/drawingml/2006/main">
            <a:ext uri="{FF2B5EF4-FFF2-40B4-BE49-F238E27FC236}">
              <a16:creationId xmlns:a16="http://schemas.microsoft.com/office/drawing/2014/main" id="{6EB45BB1-4B1B-69FA-C3A2-77D43AE67C37}"/>
            </a:ext>
          </a:extLst>
        </cdr:cNvPr>
        <cdr:cNvSpPr txBox="1"/>
      </cdr:nvSpPr>
      <cdr:spPr>
        <a:xfrm xmlns:a="http://schemas.openxmlformats.org/drawingml/2006/main">
          <a:off x="1638171" y="909784"/>
          <a:ext cx="551616" cy="28222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1100"/>
            <a:t>/°C</a:t>
          </a: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17</xdr:col>
      <xdr:colOff>0</xdr:colOff>
      <xdr:row>57</xdr:row>
      <xdr:rowOff>0</xdr:rowOff>
    </xdr:from>
    <xdr:to>
      <xdr:col>22</xdr:col>
      <xdr:colOff>466949</xdr:colOff>
      <xdr:row>90</xdr:row>
      <xdr:rowOff>62217</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26949400" y="20218400"/>
          <a:ext cx="4594449" cy="8025117"/>
        </a:xfrm>
        <a:custGeom>
          <a:avLst/>
          <a:gdLst>
            <a:gd name="connsiteX0" fmla="*/ 0 w 4594449"/>
            <a:gd name="connsiteY0" fmla="*/ 0 h 8025117"/>
            <a:gd name="connsiteX1" fmla="*/ 528362 w 4594449"/>
            <a:gd name="connsiteY1" fmla="*/ 0 h 8025117"/>
            <a:gd name="connsiteX2" fmla="*/ 964834 w 4594449"/>
            <a:gd name="connsiteY2" fmla="*/ 0 h 8025117"/>
            <a:gd name="connsiteX3" fmla="*/ 1631029 w 4594449"/>
            <a:gd name="connsiteY3" fmla="*/ 0 h 8025117"/>
            <a:gd name="connsiteX4" fmla="*/ 2159391 w 4594449"/>
            <a:gd name="connsiteY4" fmla="*/ 0 h 8025117"/>
            <a:gd name="connsiteX5" fmla="*/ 2687753 w 4594449"/>
            <a:gd name="connsiteY5" fmla="*/ 0 h 8025117"/>
            <a:gd name="connsiteX6" fmla="*/ 3353948 w 4594449"/>
            <a:gd name="connsiteY6" fmla="*/ 0 h 8025117"/>
            <a:gd name="connsiteX7" fmla="*/ 3836365 w 4594449"/>
            <a:gd name="connsiteY7" fmla="*/ 0 h 8025117"/>
            <a:gd name="connsiteX8" fmla="*/ 4594449 w 4594449"/>
            <a:gd name="connsiteY8" fmla="*/ 0 h 8025117"/>
            <a:gd name="connsiteX9" fmla="*/ 4594449 w 4594449"/>
            <a:gd name="connsiteY9" fmla="*/ 733725 h 8025117"/>
            <a:gd name="connsiteX10" fmla="*/ 4594449 w 4594449"/>
            <a:gd name="connsiteY10" fmla="*/ 1146445 h 8025117"/>
            <a:gd name="connsiteX11" fmla="*/ 4594449 w 4594449"/>
            <a:gd name="connsiteY11" fmla="*/ 1719668 h 8025117"/>
            <a:gd name="connsiteX12" fmla="*/ 4594449 w 4594449"/>
            <a:gd name="connsiteY12" fmla="*/ 2373142 h 8025117"/>
            <a:gd name="connsiteX13" fmla="*/ 4594449 w 4594449"/>
            <a:gd name="connsiteY13" fmla="*/ 2705611 h 8025117"/>
            <a:gd name="connsiteX14" fmla="*/ 4594449 w 4594449"/>
            <a:gd name="connsiteY14" fmla="*/ 3278834 h 8025117"/>
            <a:gd name="connsiteX15" fmla="*/ 4594449 w 4594449"/>
            <a:gd name="connsiteY15" fmla="*/ 3852056 h 8025117"/>
            <a:gd name="connsiteX16" fmla="*/ 4594449 w 4594449"/>
            <a:gd name="connsiteY16" fmla="*/ 4425279 h 8025117"/>
            <a:gd name="connsiteX17" fmla="*/ 4594449 w 4594449"/>
            <a:gd name="connsiteY17" fmla="*/ 5078753 h 8025117"/>
            <a:gd name="connsiteX18" fmla="*/ 4594449 w 4594449"/>
            <a:gd name="connsiteY18" fmla="*/ 5732226 h 8025117"/>
            <a:gd name="connsiteX19" fmla="*/ 4594449 w 4594449"/>
            <a:gd name="connsiteY19" fmla="*/ 6385700 h 8025117"/>
            <a:gd name="connsiteX20" fmla="*/ 4594449 w 4594449"/>
            <a:gd name="connsiteY20" fmla="*/ 6718169 h 8025117"/>
            <a:gd name="connsiteX21" fmla="*/ 4594449 w 4594449"/>
            <a:gd name="connsiteY21" fmla="*/ 7130890 h 8025117"/>
            <a:gd name="connsiteX22" fmla="*/ 4594449 w 4594449"/>
            <a:gd name="connsiteY22" fmla="*/ 8025117 h 8025117"/>
            <a:gd name="connsiteX23" fmla="*/ 4066087 w 4594449"/>
            <a:gd name="connsiteY23" fmla="*/ 8025117 h 8025117"/>
            <a:gd name="connsiteX24" fmla="*/ 3491781 w 4594449"/>
            <a:gd name="connsiteY24" fmla="*/ 8025117 h 8025117"/>
            <a:gd name="connsiteX25" fmla="*/ 3055309 w 4594449"/>
            <a:gd name="connsiteY25" fmla="*/ 8025117 h 8025117"/>
            <a:gd name="connsiteX26" fmla="*/ 2618836 w 4594449"/>
            <a:gd name="connsiteY26" fmla="*/ 8025117 h 8025117"/>
            <a:gd name="connsiteX27" fmla="*/ 2044530 w 4594449"/>
            <a:gd name="connsiteY27" fmla="*/ 8025117 h 8025117"/>
            <a:gd name="connsiteX28" fmla="*/ 1562113 w 4594449"/>
            <a:gd name="connsiteY28" fmla="*/ 8025117 h 8025117"/>
            <a:gd name="connsiteX29" fmla="*/ 941862 w 4594449"/>
            <a:gd name="connsiteY29" fmla="*/ 8025117 h 8025117"/>
            <a:gd name="connsiteX30" fmla="*/ 0 w 4594449"/>
            <a:gd name="connsiteY30" fmla="*/ 8025117 h 8025117"/>
            <a:gd name="connsiteX31" fmla="*/ 0 w 4594449"/>
            <a:gd name="connsiteY31" fmla="*/ 7371643 h 8025117"/>
            <a:gd name="connsiteX32" fmla="*/ 0 w 4594449"/>
            <a:gd name="connsiteY32" fmla="*/ 6718169 h 8025117"/>
            <a:gd name="connsiteX33" fmla="*/ 0 w 4594449"/>
            <a:gd name="connsiteY33" fmla="*/ 6305449 h 8025117"/>
            <a:gd name="connsiteX34" fmla="*/ 0 w 4594449"/>
            <a:gd name="connsiteY34" fmla="*/ 5651975 h 8025117"/>
            <a:gd name="connsiteX35" fmla="*/ 0 w 4594449"/>
            <a:gd name="connsiteY35" fmla="*/ 4918250 h 8025117"/>
            <a:gd name="connsiteX36" fmla="*/ 0 w 4594449"/>
            <a:gd name="connsiteY36" fmla="*/ 4425279 h 8025117"/>
            <a:gd name="connsiteX37" fmla="*/ 0 w 4594449"/>
            <a:gd name="connsiteY37" fmla="*/ 3691554 h 8025117"/>
            <a:gd name="connsiteX38" fmla="*/ 0 w 4594449"/>
            <a:gd name="connsiteY38" fmla="*/ 3278834 h 8025117"/>
            <a:gd name="connsiteX39" fmla="*/ 0 w 4594449"/>
            <a:gd name="connsiteY39" fmla="*/ 2946364 h 8025117"/>
            <a:gd name="connsiteX40" fmla="*/ 0 w 4594449"/>
            <a:gd name="connsiteY40" fmla="*/ 2613895 h 8025117"/>
            <a:gd name="connsiteX41" fmla="*/ 0 w 4594449"/>
            <a:gd name="connsiteY41" fmla="*/ 1960421 h 8025117"/>
            <a:gd name="connsiteX42" fmla="*/ 0 w 4594449"/>
            <a:gd name="connsiteY42" fmla="*/ 1627952 h 8025117"/>
            <a:gd name="connsiteX43" fmla="*/ 0 w 4594449"/>
            <a:gd name="connsiteY43" fmla="*/ 1054730 h 8025117"/>
            <a:gd name="connsiteX44" fmla="*/ 0 w 4594449"/>
            <a:gd name="connsiteY44" fmla="*/ 642009 h 8025117"/>
            <a:gd name="connsiteX45" fmla="*/ 0 w 4594449"/>
            <a:gd name="connsiteY45" fmla="*/ 0 h 80251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Lst>
          <a:rect l="l" t="t" r="r" b="b"/>
          <a:pathLst>
            <a:path w="4594449" h="8025117" extrusionOk="0">
              <a:moveTo>
                <a:pt x="0" y="0"/>
              </a:moveTo>
              <a:cubicBezTo>
                <a:pt x="225256" y="-16051"/>
                <a:pt x="385687" y="61417"/>
                <a:pt x="528362" y="0"/>
              </a:cubicBezTo>
              <a:cubicBezTo>
                <a:pt x="671037" y="-61417"/>
                <a:pt x="849227" y="51932"/>
                <a:pt x="964834" y="0"/>
              </a:cubicBezTo>
              <a:cubicBezTo>
                <a:pt x="1080441" y="-51932"/>
                <a:pt x="1489281" y="4053"/>
                <a:pt x="1631029" y="0"/>
              </a:cubicBezTo>
              <a:cubicBezTo>
                <a:pt x="1772778" y="-4053"/>
                <a:pt x="1956764" y="38035"/>
                <a:pt x="2159391" y="0"/>
              </a:cubicBezTo>
              <a:cubicBezTo>
                <a:pt x="2362018" y="-38035"/>
                <a:pt x="2523739" y="16604"/>
                <a:pt x="2687753" y="0"/>
              </a:cubicBezTo>
              <a:cubicBezTo>
                <a:pt x="2851767" y="-16604"/>
                <a:pt x="3188321" y="27883"/>
                <a:pt x="3353948" y="0"/>
              </a:cubicBezTo>
              <a:cubicBezTo>
                <a:pt x="3519575" y="-27883"/>
                <a:pt x="3600213" y="56175"/>
                <a:pt x="3836365" y="0"/>
              </a:cubicBezTo>
              <a:cubicBezTo>
                <a:pt x="4072517" y="-56175"/>
                <a:pt x="4405672" y="71468"/>
                <a:pt x="4594449" y="0"/>
              </a:cubicBezTo>
              <a:cubicBezTo>
                <a:pt x="4603733" y="264134"/>
                <a:pt x="4536192" y="546229"/>
                <a:pt x="4594449" y="733725"/>
              </a:cubicBezTo>
              <a:cubicBezTo>
                <a:pt x="4652706" y="921221"/>
                <a:pt x="4566697" y="960799"/>
                <a:pt x="4594449" y="1146445"/>
              </a:cubicBezTo>
              <a:cubicBezTo>
                <a:pt x="4622201" y="1332091"/>
                <a:pt x="4593991" y="1499239"/>
                <a:pt x="4594449" y="1719668"/>
              </a:cubicBezTo>
              <a:cubicBezTo>
                <a:pt x="4594907" y="1940097"/>
                <a:pt x="4564037" y="2189639"/>
                <a:pt x="4594449" y="2373142"/>
              </a:cubicBezTo>
              <a:cubicBezTo>
                <a:pt x="4624861" y="2556645"/>
                <a:pt x="4588774" y="2630833"/>
                <a:pt x="4594449" y="2705611"/>
              </a:cubicBezTo>
              <a:cubicBezTo>
                <a:pt x="4600124" y="2780389"/>
                <a:pt x="4585752" y="3047415"/>
                <a:pt x="4594449" y="3278834"/>
              </a:cubicBezTo>
              <a:cubicBezTo>
                <a:pt x="4603146" y="3510253"/>
                <a:pt x="4579017" y="3646786"/>
                <a:pt x="4594449" y="3852056"/>
              </a:cubicBezTo>
              <a:cubicBezTo>
                <a:pt x="4609881" y="4057326"/>
                <a:pt x="4583179" y="4308839"/>
                <a:pt x="4594449" y="4425279"/>
              </a:cubicBezTo>
              <a:cubicBezTo>
                <a:pt x="4605719" y="4541719"/>
                <a:pt x="4566493" y="4820521"/>
                <a:pt x="4594449" y="5078753"/>
              </a:cubicBezTo>
              <a:cubicBezTo>
                <a:pt x="4622405" y="5336985"/>
                <a:pt x="4528045" y="5422954"/>
                <a:pt x="4594449" y="5732226"/>
              </a:cubicBezTo>
              <a:cubicBezTo>
                <a:pt x="4660853" y="6041498"/>
                <a:pt x="4575604" y="6205995"/>
                <a:pt x="4594449" y="6385700"/>
              </a:cubicBezTo>
              <a:cubicBezTo>
                <a:pt x="4613294" y="6565405"/>
                <a:pt x="4579296" y="6586675"/>
                <a:pt x="4594449" y="6718169"/>
              </a:cubicBezTo>
              <a:cubicBezTo>
                <a:pt x="4609602" y="6849663"/>
                <a:pt x="4555351" y="7016318"/>
                <a:pt x="4594449" y="7130890"/>
              </a:cubicBezTo>
              <a:cubicBezTo>
                <a:pt x="4633547" y="7245462"/>
                <a:pt x="4526711" y="7697910"/>
                <a:pt x="4594449" y="8025117"/>
              </a:cubicBezTo>
              <a:cubicBezTo>
                <a:pt x="4413114" y="8059032"/>
                <a:pt x="4228463" y="7971699"/>
                <a:pt x="4066087" y="8025117"/>
              </a:cubicBezTo>
              <a:cubicBezTo>
                <a:pt x="3903711" y="8078535"/>
                <a:pt x="3693362" y="8007261"/>
                <a:pt x="3491781" y="8025117"/>
              </a:cubicBezTo>
              <a:cubicBezTo>
                <a:pt x="3290200" y="8042973"/>
                <a:pt x="3242785" y="8021147"/>
                <a:pt x="3055309" y="8025117"/>
              </a:cubicBezTo>
              <a:cubicBezTo>
                <a:pt x="2867833" y="8029087"/>
                <a:pt x="2808163" y="7987049"/>
                <a:pt x="2618836" y="8025117"/>
              </a:cubicBezTo>
              <a:cubicBezTo>
                <a:pt x="2429509" y="8063185"/>
                <a:pt x="2258191" y="8008220"/>
                <a:pt x="2044530" y="8025117"/>
              </a:cubicBezTo>
              <a:cubicBezTo>
                <a:pt x="1830869" y="8042014"/>
                <a:pt x="1775641" y="8005970"/>
                <a:pt x="1562113" y="8025117"/>
              </a:cubicBezTo>
              <a:cubicBezTo>
                <a:pt x="1348585" y="8044264"/>
                <a:pt x="1172393" y="7980619"/>
                <a:pt x="941862" y="8025117"/>
              </a:cubicBezTo>
              <a:cubicBezTo>
                <a:pt x="711331" y="8069615"/>
                <a:pt x="370689" y="8017933"/>
                <a:pt x="0" y="8025117"/>
              </a:cubicBezTo>
              <a:cubicBezTo>
                <a:pt x="-45417" y="7885009"/>
                <a:pt x="57455" y="7522822"/>
                <a:pt x="0" y="7371643"/>
              </a:cubicBezTo>
              <a:cubicBezTo>
                <a:pt x="-57455" y="7220464"/>
                <a:pt x="72074" y="6929390"/>
                <a:pt x="0" y="6718169"/>
              </a:cubicBezTo>
              <a:cubicBezTo>
                <a:pt x="-72074" y="6506948"/>
                <a:pt x="33099" y="6426909"/>
                <a:pt x="0" y="6305449"/>
              </a:cubicBezTo>
              <a:cubicBezTo>
                <a:pt x="-33099" y="6183989"/>
                <a:pt x="37161" y="5918277"/>
                <a:pt x="0" y="5651975"/>
              </a:cubicBezTo>
              <a:cubicBezTo>
                <a:pt x="-37161" y="5385673"/>
                <a:pt x="77312" y="5075320"/>
                <a:pt x="0" y="4918250"/>
              </a:cubicBezTo>
              <a:cubicBezTo>
                <a:pt x="-77312" y="4761180"/>
                <a:pt x="13689" y="4577782"/>
                <a:pt x="0" y="4425279"/>
              </a:cubicBezTo>
              <a:cubicBezTo>
                <a:pt x="-13689" y="4272776"/>
                <a:pt x="18307" y="3902993"/>
                <a:pt x="0" y="3691554"/>
              </a:cubicBezTo>
              <a:cubicBezTo>
                <a:pt x="-18307" y="3480115"/>
                <a:pt x="9037" y="3410056"/>
                <a:pt x="0" y="3278834"/>
              </a:cubicBezTo>
              <a:cubicBezTo>
                <a:pt x="-9037" y="3147612"/>
                <a:pt x="14770" y="3076546"/>
                <a:pt x="0" y="2946364"/>
              </a:cubicBezTo>
              <a:cubicBezTo>
                <a:pt x="-14770" y="2816182"/>
                <a:pt x="19017" y="2711234"/>
                <a:pt x="0" y="2613895"/>
              </a:cubicBezTo>
              <a:cubicBezTo>
                <a:pt x="-19017" y="2516556"/>
                <a:pt x="43784" y="2153632"/>
                <a:pt x="0" y="1960421"/>
              </a:cubicBezTo>
              <a:cubicBezTo>
                <a:pt x="-43784" y="1767210"/>
                <a:pt x="33480" y="1720939"/>
                <a:pt x="0" y="1627952"/>
              </a:cubicBezTo>
              <a:cubicBezTo>
                <a:pt x="-33480" y="1534965"/>
                <a:pt x="66765" y="1341334"/>
                <a:pt x="0" y="1054730"/>
              </a:cubicBezTo>
              <a:cubicBezTo>
                <a:pt x="-66765" y="768126"/>
                <a:pt x="48508" y="793353"/>
                <a:pt x="0" y="642009"/>
              </a:cubicBezTo>
              <a:cubicBezTo>
                <a:pt x="-48508" y="490665"/>
                <a:pt x="50956" y="165348"/>
                <a:pt x="0" y="0"/>
              </a:cubicBezTo>
              <a:close/>
            </a:path>
          </a:pathLst>
        </a:custGeom>
        <a:noFill/>
        <a:ln w="38100">
          <a:solidFill>
            <a:schemeClr val="tx1"/>
          </a:solidFill>
          <a:extLst>
            <a:ext uri="{C807C97D-BFC1-408E-A445-0C87EB9F89A2}">
              <ask:lineSketchStyleProps xmlns:ask="http://schemas.microsoft.com/office/drawing/2018/sketchyshapes" xmlns="" sd="1219033472">
                <a:prstGeom prst="rect">
                  <a:avLst/>
                </a:prstGeom>
                <ask:type>
                  <ask:lineSketchScribble/>
                </ask:type>
              </ask:lineSketchStyleProps>
            </a:ext>
          </a:extLst>
        </a:ln>
        <a:effectLst>
          <a:outerShdw blurRad="50800" dist="38100" dir="2700000" algn="tl" rotWithShape="0">
            <a:prstClr val="black">
              <a:alpha val="40000"/>
            </a:prstClr>
          </a:outerShdw>
        </a:effectLst>
      </xdr:spPr>
    </xdr:pic>
    <xdr:clientData/>
  </xdr:twoCellAnchor>
  <xdr:twoCellAnchor>
    <xdr:from>
      <xdr:col>2</xdr:col>
      <xdr:colOff>683749</xdr:colOff>
      <xdr:row>93</xdr:row>
      <xdr:rowOff>154964</xdr:rowOff>
    </xdr:from>
    <xdr:to>
      <xdr:col>8</xdr:col>
      <xdr:colOff>679899</xdr:colOff>
      <xdr:row>114</xdr:row>
      <xdr:rowOff>38485</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516373</xdr:colOff>
      <xdr:row>83</xdr:row>
      <xdr:rowOff>151953</xdr:rowOff>
    </xdr:from>
    <xdr:to>
      <xdr:col>25</xdr:col>
      <xdr:colOff>280036</xdr:colOff>
      <xdr:row>113</xdr:row>
      <xdr:rowOff>198957</xdr:rowOff>
    </xdr:to>
    <xdr:pic>
      <xdr:nvPicPr>
        <xdr:cNvPr id="4" name="Picture 3" descr="Image">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312373" y="26644153"/>
          <a:ext cx="14521064" cy="7286004"/>
        </a:xfrm>
        <a:custGeom>
          <a:avLst/>
          <a:gdLst>
            <a:gd name="connsiteX0" fmla="*/ 0 w 14521064"/>
            <a:gd name="connsiteY0" fmla="*/ 0 h 7286004"/>
            <a:gd name="connsiteX1" fmla="*/ 435632 w 14521064"/>
            <a:gd name="connsiteY1" fmla="*/ 0 h 7286004"/>
            <a:gd name="connsiteX2" fmla="*/ 580843 w 14521064"/>
            <a:gd name="connsiteY2" fmla="*/ 0 h 7286004"/>
            <a:gd name="connsiteX3" fmla="*/ 1452106 w 14521064"/>
            <a:gd name="connsiteY3" fmla="*/ 0 h 7286004"/>
            <a:gd name="connsiteX4" fmla="*/ 1887738 w 14521064"/>
            <a:gd name="connsiteY4" fmla="*/ 0 h 7286004"/>
            <a:gd name="connsiteX5" fmla="*/ 2323370 w 14521064"/>
            <a:gd name="connsiteY5" fmla="*/ 0 h 7286004"/>
            <a:gd name="connsiteX6" fmla="*/ 3194634 w 14521064"/>
            <a:gd name="connsiteY6" fmla="*/ 0 h 7286004"/>
            <a:gd name="connsiteX7" fmla="*/ 3485055 w 14521064"/>
            <a:gd name="connsiteY7" fmla="*/ 0 h 7286004"/>
            <a:gd name="connsiteX8" fmla="*/ 4356319 w 14521064"/>
            <a:gd name="connsiteY8" fmla="*/ 0 h 7286004"/>
            <a:gd name="connsiteX9" fmla="*/ 5227583 w 14521064"/>
            <a:gd name="connsiteY9" fmla="*/ 0 h 7286004"/>
            <a:gd name="connsiteX10" fmla="*/ 5808426 w 14521064"/>
            <a:gd name="connsiteY10" fmla="*/ 0 h 7286004"/>
            <a:gd name="connsiteX11" fmla="*/ 6679689 w 14521064"/>
            <a:gd name="connsiteY11" fmla="*/ 0 h 7286004"/>
            <a:gd name="connsiteX12" fmla="*/ 7115321 w 14521064"/>
            <a:gd name="connsiteY12" fmla="*/ 0 h 7286004"/>
            <a:gd name="connsiteX13" fmla="*/ 7550953 w 14521064"/>
            <a:gd name="connsiteY13" fmla="*/ 0 h 7286004"/>
            <a:gd name="connsiteX14" fmla="*/ 8277006 w 14521064"/>
            <a:gd name="connsiteY14" fmla="*/ 0 h 7286004"/>
            <a:gd name="connsiteX15" fmla="*/ 8712638 w 14521064"/>
            <a:gd name="connsiteY15" fmla="*/ 0 h 7286004"/>
            <a:gd name="connsiteX16" fmla="*/ 9583902 w 14521064"/>
            <a:gd name="connsiteY16" fmla="*/ 0 h 7286004"/>
            <a:gd name="connsiteX17" fmla="*/ 10455166 w 14521064"/>
            <a:gd name="connsiteY17" fmla="*/ 0 h 7286004"/>
            <a:gd name="connsiteX18" fmla="*/ 11036009 w 14521064"/>
            <a:gd name="connsiteY18" fmla="*/ 0 h 7286004"/>
            <a:gd name="connsiteX19" fmla="*/ 11471641 w 14521064"/>
            <a:gd name="connsiteY19" fmla="*/ 0 h 7286004"/>
            <a:gd name="connsiteX20" fmla="*/ 11616851 w 14521064"/>
            <a:gd name="connsiteY20" fmla="*/ 0 h 7286004"/>
            <a:gd name="connsiteX21" fmla="*/ 11907272 w 14521064"/>
            <a:gd name="connsiteY21" fmla="*/ 0 h 7286004"/>
            <a:gd name="connsiteX22" fmla="*/ 12197694 w 14521064"/>
            <a:gd name="connsiteY22" fmla="*/ 0 h 7286004"/>
            <a:gd name="connsiteX23" fmla="*/ 12633326 w 14521064"/>
            <a:gd name="connsiteY23" fmla="*/ 0 h 7286004"/>
            <a:gd name="connsiteX24" fmla="*/ 13504590 w 14521064"/>
            <a:gd name="connsiteY24" fmla="*/ 0 h 7286004"/>
            <a:gd name="connsiteX25" fmla="*/ 14521064 w 14521064"/>
            <a:gd name="connsiteY25" fmla="*/ 0 h 7286004"/>
            <a:gd name="connsiteX26" fmla="*/ 14521064 w 14521064"/>
            <a:gd name="connsiteY26" fmla="*/ 487602 h 7286004"/>
            <a:gd name="connsiteX27" fmla="*/ 14521064 w 14521064"/>
            <a:gd name="connsiteY27" fmla="*/ 1048064 h 7286004"/>
            <a:gd name="connsiteX28" fmla="*/ 14521064 w 14521064"/>
            <a:gd name="connsiteY28" fmla="*/ 1754246 h 7286004"/>
            <a:gd name="connsiteX29" fmla="*/ 14521064 w 14521064"/>
            <a:gd name="connsiteY29" fmla="*/ 2387567 h 7286004"/>
            <a:gd name="connsiteX30" fmla="*/ 14521064 w 14521064"/>
            <a:gd name="connsiteY30" fmla="*/ 2729449 h 7286004"/>
            <a:gd name="connsiteX31" fmla="*/ 14521064 w 14521064"/>
            <a:gd name="connsiteY31" fmla="*/ 3217051 h 7286004"/>
            <a:gd name="connsiteX32" fmla="*/ 14521064 w 14521064"/>
            <a:gd name="connsiteY32" fmla="*/ 3923233 h 7286004"/>
            <a:gd name="connsiteX33" fmla="*/ 14521064 w 14521064"/>
            <a:gd name="connsiteY33" fmla="*/ 4483695 h 7286004"/>
            <a:gd name="connsiteX34" fmla="*/ 14521064 w 14521064"/>
            <a:gd name="connsiteY34" fmla="*/ 5117017 h 7286004"/>
            <a:gd name="connsiteX35" fmla="*/ 14521064 w 14521064"/>
            <a:gd name="connsiteY35" fmla="*/ 5604618 h 7286004"/>
            <a:gd name="connsiteX36" fmla="*/ 14521064 w 14521064"/>
            <a:gd name="connsiteY36" fmla="*/ 6165080 h 7286004"/>
            <a:gd name="connsiteX37" fmla="*/ 14521064 w 14521064"/>
            <a:gd name="connsiteY37" fmla="*/ 7286004 h 7286004"/>
            <a:gd name="connsiteX38" fmla="*/ 14230643 w 14521064"/>
            <a:gd name="connsiteY38" fmla="*/ 7286004 h 7286004"/>
            <a:gd name="connsiteX39" fmla="*/ 14085432 w 14521064"/>
            <a:gd name="connsiteY39" fmla="*/ 7286004 h 7286004"/>
            <a:gd name="connsiteX40" fmla="*/ 13795011 w 14521064"/>
            <a:gd name="connsiteY40" fmla="*/ 7286004 h 7286004"/>
            <a:gd name="connsiteX41" fmla="*/ 13359379 w 14521064"/>
            <a:gd name="connsiteY41" fmla="*/ 7286004 h 7286004"/>
            <a:gd name="connsiteX42" fmla="*/ 12778536 w 14521064"/>
            <a:gd name="connsiteY42" fmla="*/ 7286004 h 7286004"/>
            <a:gd name="connsiteX43" fmla="*/ 12488115 w 14521064"/>
            <a:gd name="connsiteY43" fmla="*/ 7286004 h 7286004"/>
            <a:gd name="connsiteX44" fmla="*/ 11616851 w 14521064"/>
            <a:gd name="connsiteY44" fmla="*/ 7286004 h 7286004"/>
            <a:gd name="connsiteX45" fmla="*/ 11036009 w 14521064"/>
            <a:gd name="connsiteY45" fmla="*/ 7286004 h 7286004"/>
            <a:gd name="connsiteX46" fmla="*/ 10164745 w 14521064"/>
            <a:gd name="connsiteY46" fmla="*/ 7286004 h 7286004"/>
            <a:gd name="connsiteX47" fmla="*/ 9438692 w 14521064"/>
            <a:gd name="connsiteY47" fmla="*/ 7286004 h 7286004"/>
            <a:gd name="connsiteX48" fmla="*/ 9003060 w 14521064"/>
            <a:gd name="connsiteY48" fmla="*/ 7286004 h 7286004"/>
            <a:gd name="connsiteX49" fmla="*/ 8277006 w 14521064"/>
            <a:gd name="connsiteY49" fmla="*/ 7286004 h 7286004"/>
            <a:gd name="connsiteX50" fmla="*/ 7986585 w 14521064"/>
            <a:gd name="connsiteY50" fmla="*/ 7286004 h 7286004"/>
            <a:gd name="connsiteX51" fmla="*/ 7405743 w 14521064"/>
            <a:gd name="connsiteY51" fmla="*/ 7286004 h 7286004"/>
            <a:gd name="connsiteX52" fmla="*/ 7260532 w 14521064"/>
            <a:gd name="connsiteY52" fmla="*/ 7286004 h 7286004"/>
            <a:gd name="connsiteX53" fmla="*/ 6389268 w 14521064"/>
            <a:gd name="connsiteY53" fmla="*/ 7286004 h 7286004"/>
            <a:gd name="connsiteX54" fmla="*/ 5808426 w 14521064"/>
            <a:gd name="connsiteY54" fmla="*/ 7286004 h 7286004"/>
            <a:gd name="connsiteX55" fmla="*/ 4937162 w 14521064"/>
            <a:gd name="connsiteY55" fmla="*/ 7286004 h 7286004"/>
            <a:gd name="connsiteX56" fmla="*/ 4501530 w 14521064"/>
            <a:gd name="connsiteY56" fmla="*/ 7286004 h 7286004"/>
            <a:gd name="connsiteX57" fmla="*/ 4211109 w 14521064"/>
            <a:gd name="connsiteY57" fmla="*/ 7286004 h 7286004"/>
            <a:gd name="connsiteX58" fmla="*/ 3630266 w 14521064"/>
            <a:gd name="connsiteY58" fmla="*/ 7286004 h 7286004"/>
            <a:gd name="connsiteX59" fmla="*/ 2904213 w 14521064"/>
            <a:gd name="connsiteY59" fmla="*/ 7286004 h 7286004"/>
            <a:gd name="connsiteX60" fmla="*/ 2032949 w 14521064"/>
            <a:gd name="connsiteY60" fmla="*/ 7286004 h 7286004"/>
            <a:gd name="connsiteX61" fmla="*/ 1306896 w 14521064"/>
            <a:gd name="connsiteY61" fmla="*/ 7286004 h 7286004"/>
            <a:gd name="connsiteX62" fmla="*/ 0 w 14521064"/>
            <a:gd name="connsiteY62" fmla="*/ 7286004 h 7286004"/>
            <a:gd name="connsiteX63" fmla="*/ 0 w 14521064"/>
            <a:gd name="connsiteY63" fmla="*/ 6652682 h 7286004"/>
            <a:gd name="connsiteX64" fmla="*/ 0 w 14521064"/>
            <a:gd name="connsiteY64" fmla="*/ 6165080 h 7286004"/>
            <a:gd name="connsiteX65" fmla="*/ 0 w 14521064"/>
            <a:gd name="connsiteY65" fmla="*/ 5677479 h 7286004"/>
            <a:gd name="connsiteX66" fmla="*/ 0 w 14521064"/>
            <a:gd name="connsiteY66" fmla="*/ 5044157 h 7286004"/>
            <a:gd name="connsiteX67" fmla="*/ 0 w 14521064"/>
            <a:gd name="connsiteY67" fmla="*/ 4483695 h 7286004"/>
            <a:gd name="connsiteX68" fmla="*/ 0 w 14521064"/>
            <a:gd name="connsiteY68" fmla="*/ 4141813 h 7286004"/>
            <a:gd name="connsiteX69" fmla="*/ 0 w 14521064"/>
            <a:gd name="connsiteY69" fmla="*/ 3654211 h 7286004"/>
            <a:gd name="connsiteX70" fmla="*/ 0 w 14521064"/>
            <a:gd name="connsiteY70" fmla="*/ 3020889 h 7286004"/>
            <a:gd name="connsiteX71" fmla="*/ 0 w 14521064"/>
            <a:gd name="connsiteY71" fmla="*/ 2606148 h 7286004"/>
            <a:gd name="connsiteX72" fmla="*/ 0 w 14521064"/>
            <a:gd name="connsiteY72" fmla="*/ 1899966 h 7286004"/>
            <a:gd name="connsiteX73" fmla="*/ 0 w 14521064"/>
            <a:gd name="connsiteY73" fmla="*/ 1193784 h 7286004"/>
            <a:gd name="connsiteX74" fmla="*/ 0 w 14521064"/>
            <a:gd name="connsiteY74" fmla="*/ 633322 h 7286004"/>
            <a:gd name="connsiteX75" fmla="*/ 0 w 14521064"/>
            <a:gd name="connsiteY75" fmla="*/ 0 h 72860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Lst>
          <a:rect l="l" t="t" r="r" b="b"/>
          <a:pathLst>
            <a:path w="14521064" h="7286004" extrusionOk="0">
              <a:moveTo>
                <a:pt x="0" y="0"/>
              </a:moveTo>
              <a:cubicBezTo>
                <a:pt x="132613" y="-14327"/>
                <a:pt x="222128" y="21529"/>
                <a:pt x="435632" y="0"/>
              </a:cubicBezTo>
              <a:cubicBezTo>
                <a:pt x="649136" y="-21529"/>
                <a:pt x="528402" y="9582"/>
                <a:pt x="580843" y="0"/>
              </a:cubicBezTo>
              <a:cubicBezTo>
                <a:pt x="633284" y="-9582"/>
                <a:pt x="1091180" y="66716"/>
                <a:pt x="1452106" y="0"/>
              </a:cubicBezTo>
              <a:cubicBezTo>
                <a:pt x="1813032" y="-66716"/>
                <a:pt x="1716682" y="25542"/>
                <a:pt x="1887738" y="0"/>
              </a:cubicBezTo>
              <a:cubicBezTo>
                <a:pt x="2058794" y="-25542"/>
                <a:pt x="2136035" y="41008"/>
                <a:pt x="2323370" y="0"/>
              </a:cubicBezTo>
              <a:cubicBezTo>
                <a:pt x="2510705" y="-41008"/>
                <a:pt x="2957477" y="3599"/>
                <a:pt x="3194634" y="0"/>
              </a:cubicBezTo>
              <a:cubicBezTo>
                <a:pt x="3431791" y="-3599"/>
                <a:pt x="3380254" y="4878"/>
                <a:pt x="3485055" y="0"/>
              </a:cubicBezTo>
              <a:cubicBezTo>
                <a:pt x="3589856" y="-4878"/>
                <a:pt x="4150747" y="57833"/>
                <a:pt x="4356319" y="0"/>
              </a:cubicBezTo>
              <a:cubicBezTo>
                <a:pt x="4561891" y="-57833"/>
                <a:pt x="4810949" y="78285"/>
                <a:pt x="5227583" y="0"/>
              </a:cubicBezTo>
              <a:cubicBezTo>
                <a:pt x="5644217" y="-78285"/>
                <a:pt x="5543953" y="42527"/>
                <a:pt x="5808426" y="0"/>
              </a:cubicBezTo>
              <a:cubicBezTo>
                <a:pt x="6072899" y="-42527"/>
                <a:pt x="6292963" y="66215"/>
                <a:pt x="6679689" y="0"/>
              </a:cubicBezTo>
              <a:cubicBezTo>
                <a:pt x="7066415" y="-66215"/>
                <a:pt x="6933351" y="42847"/>
                <a:pt x="7115321" y="0"/>
              </a:cubicBezTo>
              <a:cubicBezTo>
                <a:pt x="7297291" y="-42847"/>
                <a:pt x="7440713" y="32622"/>
                <a:pt x="7550953" y="0"/>
              </a:cubicBezTo>
              <a:cubicBezTo>
                <a:pt x="7661193" y="-32622"/>
                <a:pt x="8092403" y="22124"/>
                <a:pt x="8277006" y="0"/>
              </a:cubicBezTo>
              <a:cubicBezTo>
                <a:pt x="8461609" y="-22124"/>
                <a:pt x="8556623" y="45468"/>
                <a:pt x="8712638" y="0"/>
              </a:cubicBezTo>
              <a:cubicBezTo>
                <a:pt x="8868653" y="-45468"/>
                <a:pt x="9185183" y="3424"/>
                <a:pt x="9583902" y="0"/>
              </a:cubicBezTo>
              <a:cubicBezTo>
                <a:pt x="9982621" y="-3424"/>
                <a:pt x="10172535" y="2276"/>
                <a:pt x="10455166" y="0"/>
              </a:cubicBezTo>
              <a:cubicBezTo>
                <a:pt x="10737797" y="-2276"/>
                <a:pt x="10812699" y="26479"/>
                <a:pt x="11036009" y="0"/>
              </a:cubicBezTo>
              <a:cubicBezTo>
                <a:pt x="11259319" y="-26479"/>
                <a:pt x="11313786" y="19205"/>
                <a:pt x="11471641" y="0"/>
              </a:cubicBezTo>
              <a:cubicBezTo>
                <a:pt x="11629496" y="-19205"/>
                <a:pt x="11580158" y="3512"/>
                <a:pt x="11616851" y="0"/>
              </a:cubicBezTo>
              <a:cubicBezTo>
                <a:pt x="11653544" y="-3512"/>
                <a:pt x="11826977" y="27614"/>
                <a:pt x="11907272" y="0"/>
              </a:cubicBezTo>
              <a:cubicBezTo>
                <a:pt x="11987567" y="-27614"/>
                <a:pt x="12062549" y="31087"/>
                <a:pt x="12197694" y="0"/>
              </a:cubicBezTo>
              <a:cubicBezTo>
                <a:pt x="12332839" y="-31087"/>
                <a:pt x="12522594" y="23937"/>
                <a:pt x="12633326" y="0"/>
              </a:cubicBezTo>
              <a:cubicBezTo>
                <a:pt x="12744058" y="-23937"/>
                <a:pt x="13267882" y="63855"/>
                <a:pt x="13504590" y="0"/>
              </a:cubicBezTo>
              <a:cubicBezTo>
                <a:pt x="13741298" y="-63855"/>
                <a:pt x="14132506" y="57153"/>
                <a:pt x="14521064" y="0"/>
              </a:cubicBezTo>
              <a:cubicBezTo>
                <a:pt x="14549301" y="139833"/>
                <a:pt x="14463255" y="286225"/>
                <a:pt x="14521064" y="487602"/>
              </a:cubicBezTo>
              <a:cubicBezTo>
                <a:pt x="14578873" y="688979"/>
                <a:pt x="14510299" y="786753"/>
                <a:pt x="14521064" y="1048064"/>
              </a:cubicBezTo>
              <a:cubicBezTo>
                <a:pt x="14531829" y="1309375"/>
                <a:pt x="14465006" y="1595377"/>
                <a:pt x="14521064" y="1754246"/>
              </a:cubicBezTo>
              <a:cubicBezTo>
                <a:pt x="14577122" y="1913115"/>
                <a:pt x="14458893" y="2231375"/>
                <a:pt x="14521064" y="2387567"/>
              </a:cubicBezTo>
              <a:cubicBezTo>
                <a:pt x="14583235" y="2543759"/>
                <a:pt x="14509268" y="2632102"/>
                <a:pt x="14521064" y="2729449"/>
              </a:cubicBezTo>
              <a:cubicBezTo>
                <a:pt x="14532860" y="2826796"/>
                <a:pt x="14519360" y="3114472"/>
                <a:pt x="14521064" y="3217051"/>
              </a:cubicBezTo>
              <a:cubicBezTo>
                <a:pt x="14522768" y="3319630"/>
                <a:pt x="14459784" y="3757651"/>
                <a:pt x="14521064" y="3923233"/>
              </a:cubicBezTo>
              <a:cubicBezTo>
                <a:pt x="14582344" y="4088815"/>
                <a:pt x="14463586" y="4317185"/>
                <a:pt x="14521064" y="4483695"/>
              </a:cubicBezTo>
              <a:cubicBezTo>
                <a:pt x="14578542" y="4650205"/>
                <a:pt x="14458760" y="4888055"/>
                <a:pt x="14521064" y="5117017"/>
              </a:cubicBezTo>
              <a:cubicBezTo>
                <a:pt x="14583368" y="5345979"/>
                <a:pt x="14507256" y="5453766"/>
                <a:pt x="14521064" y="5604618"/>
              </a:cubicBezTo>
              <a:cubicBezTo>
                <a:pt x="14534872" y="5755470"/>
                <a:pt x="14460616" y="5892310"/>
                <a:pt x="14521064" y="6165080"/>
              </a:cubicBezTo>
              <a:cubicBezTo>
                <a:pt x="14581512" y="6437850"/>
                <a:pt x="14415078" y="6737514"/>
                <a:pt x="14521064" y="7286004"/>
              </a:cubicBezTo>
              <a:cubicBezTo>
                <a:pt x="14378819" y="7287452"/>
                <a:pt x="14353461" y="7265419"/>
                <a:pt x="14230643" y="7286004"/>
              </a:cubicBezTo>
              <a:cubicBezTo>
                <a:pt x="14107825" y="7306589"/>
                <a:pt x="14134004" y="7280836"/>
                <a:pt x="14085432" y="7286004"/>
              </a:cubicBezTo>
              <a:cubicBezTo>
                <a:pt x="14036860" y="7291172"/>
                <a:pt x="13858767" y="7258486"/>
                <a:pt x="13795011" y="7286004"/>
              </a:cubicBezTo>
              <a:cubicBezTo>
                <a:pt x="13731255" y="7313522"/>
                <a:pt x="13568397" y="7254767"/>
                <a:pt x="13359379" y="7286004"/>
              </a:cubicBezTo>
              <a:cubicBezTo>
                <a:pt x="13150361" y="7317241"/>
                <a:pt x="13063500" y="7271353"/>
                <a:pt x="12778536" y="7286004"/>
              </a:cubicBezTo>
              <a:cubicBezTo>
                <a:pt x="12493572" y="7300655"/>
                <a:pt x="12578444" y="7259360"/>
                <a:pt x="12488115" y="7286004"/>
              </a:cubicBezTo>
              <a:cubicBezTo>
                <a:pt x="12397786" y="7312648"/>
                <a:pt x="11840167" y="7238974"/>
                <a:pt x="11616851" y="7286004"/>
              </a:cubicBezTo>
              <a:cubicBezTo>
                <a:pt x="11393535" y="7333034"/>
                <a:pt x="11309236" y="7241310"/>
                <a:pt x="11036009" y="7286004"/>
              </a:cubicBezTo>
              <a:cubicBezTo>
                <a:pt x="10762782" y="7330698"/>
                <a:pt x="10350917" y="7225414"/>
                <a:pt x="10164745" y="7286004"/>
              </a:cubicBezTo>
              <a:cubicBezTo>
                <a:pt x="9978573" y="7346594"/>
                <a:pt x="9771562" y="7240781"/>
                <a:pt x="9438692" y="7286004"/>
              </a:cubicBezTo>
              <a:cubicBezTo>
                <a:pt x="9105822" y="7331227"/>
                <a:pt x="9156909" y="7266515"/>
                <a:pt x="9003060" y="7286004"/>
              </a:cubicBezTo>
              <a:cubicBezTo>
                <a:pt x="8849211" y="7305493"/>
                <a:pt x="8490361" y="7258343"/>
                <a:pt x="8277006" y="7286004"/>
              </a:cubicBezTo>
              <a:cubicBezTo>
                <a:pt x="8063651" y="7313665"/>
                <a:pt x="8113207" y="7262209"/>
                <a:pt x="7986585" y="7286004"/>
              </a:cubicBezTo>
              <a:cubicBezTo>
                <a:pt x="7859963" y="7309799"/>
                <a:pt x="7561000" y="7265785"/>
                <a:pt x="7405743" y="7286004"/>
              </a:cubicBezTo>
              <a:cubicBezTo>
                <a:pt x="7250486" y="7306223"/>
                <a:pt x="7293144" y="7268759"/>
                <a:pt x="7260532" y="7286004"/>
              </a:cubicBezTo>
              <a:cubicBezTo>
                <a:pt x="7227920" y="7303249"/>
                <a:pt x="6797178" y="7241621"/>
                <a:pt x="6389268" y="7286004"/>
              </a:cubicBezTo>
              <a:cubicBezTo>
                <a:pt x="5981358" y="7330387"/>
                <a:pt x="6054919" y="7262819"/>
                <a:pt x="5808426" y="7286004"/>
              </a:cubicBezTo>
              <a:cubicBezTo>
                <a:pt x="5561933" y="7309189"/>
                <a:pt x="5209515" y="7212556"/>
                <a:pt x="4937162" y="7286004"/>
              </a:cubicBezTo>
              <a:cubicBezTo>
                <a:pt x="4664809" y="7359452"/>
                <a:pt x="4606744" y="7261989"/>
                <a:pt x="4501530" y="7286004"/>
              </a:cubicBezTo>
              <a:cubicBezTo>
                <a:pt x="4396316" y="7310019"/>
                <a:pt x="4331852" y="7274266"/>
                <a:pt x="4211109" y="7286004"/>
              </a:cubicBezTo>
              <a:cubicBezTo>
                <a:pt x="4090366" y="7297742"/>
                <a:pt x="3811911" y="7269280"/>
                <a:pt x="3630266" y="7286004"/>
              </a:cubicBezTo>
              <a:cubicBezTo>
                <a:pt x="3448621" y="7302728"/>
                <a:pt x="3111802" y="7231700"/>
                <a:pt x="2904213" y="7286004"/>
              </a:cubicBezTo>
              <a:cubicBezTo>
                <a:pt x="2696624" y="7340308"/>
                <a:pt x="2346214" y="7275767"/>
                <a:pt x="2032949" y="7286004"/>
              </a:cubicBezTo>
              <a:cubicBezTo>
                <a:pt x="1719684" y="7296241"/>
                <a:pt x="1631631" y="7248861"/>
                <a:pt x="1306896" y="7286004"/>
              </a:cubicBezTo>
              <a:cubicBezTo>
                <a:pt x="982161" y="7323147"/>
                <a:pt x="316388" y="7278505"/>
                <a:pt x="0" y="7286004"/>
              </a:cubicBezTo>
              <a:cubicBezTo>
                <a:pt x="-18198" y="7122383"/>
                <a:pt x="18627" y="6862459"/>
                <a:pt x="0" y="6652682"/>
              </a:cubicBezTo>
              <a:cubicBezTo>
                <a:pt x="-18627" y="6442905"/>
                <a:pt x="46989" y="6264284"/>
                <a:pt x="0" y="6165080"/>
              </a:cubicBezTo>
              <a:cubicBezTo>
                <a:pt x="-46989" y="6065876"/>
                <a:pt x="5822" y="5802410"/>
                <a:pt x="0" y="5677479"/>
              </a:cubicBezTo>
              <a:cubicBezTo>
                <a:pt x="-5822" y="5552548"/>
                <a:pt x="68206" y="5214714"/>
                <a:pt x="0" y="5044157"/>
              </a:cubicBezTo>
              <a:cubicBezTo>
                <a:pt x="-68206" y="4873600"/>
                <a:pt x="61462" y="4607526"/>
                <a:pt x="0" y="4483695"/>
              </a:cubicBezTo>
              <a:cubicBezTo>
                <a:pt x="-61462" y="4359864"/>
                <a:pt x="11708" y="4302538"/>
                <a:pt x="0" y="4141813"/>
              </a:cubicBezTo>
              <a:cubicBezTo>
                <a:pt x="-11708" y="3981088"/>
                <a:pt x="49062" y="3786750"/>
                <a:pt x="0" y="3654211"/>
              </a:cubicBezTo>
              <a:cubicBezTo>
                <a:pt x="-49062" y="3521672"/>
                <a:pt x="5654" y="3263964"/>
                <a:pt x="0" y="3020889"/>
              </a:cubicBezTo>
              <a:cubicBezTo>
                <a:pt x="-5654" y="2777814"/>
                <a:pt x="39543" y="2776246"/>
                <a:pt x="0" y="2606148"/>
              </a:cubicBezTo>
              <a:cubicBezTo>
                <a:pt x="-39543" y="2436050"/>
                <a:pt x="61422" y="2240530"/>
                <a:pt x="0" y="1899966"/>
              </a:cubicBezTo>
              <a:cubicBezTo>
                <a:pt x="-61422" y="1559402"/>
                <a:pt x="77574" y="1376318"/>
                <a:pt x="0" y="1193784"/>
              </a:cubicBezTo>
              <a:cubicBezTo>
                <a:pt x="-77574" y="1011250"/>
                <a:pt x="41027" y="762012"/>
                <a:pt x="0" y="633322"/>
              </a:cubicBezTo>
              <a:cubicBezTo>
                <a:pt x="-41027" y="504632"/>
                <a:pt x="65725" y="256702"/>
                <a:pt x="0" y="0"/>
              </a:cubicBezTo>
              <a:close/>
            </a:path>
          </a:pathLst>
        </a:custGeom>
        <a:noFill/>
        <a:ln w="38100">
          <a:solidFill>
            <a:schemeClr val="tx1"/>
          </a:solidFill>
          <a:extLst>
            <a:ext uri="{C807C97D-BFC1-408E-A445-0C87EB9F89A2}">
              <ask:lineSketchStyleProps xmlns:ask="http://schemas.microsoft.com/office/drawing/2018/sketchyshapes" xmlns="" sd="1219033472">
                <a:prstGeom prst="rect">
                  <a:avLst/>
                </a:prstGeom>
                <ask:type>
                  <ask:lineSketchScribble/>
                </ask:type>
              </ask:lineSketchStyleProps>
            </a:ext>
          </a:extLst>
        </a:ln>
        <a:effectLst>
          <a:outerShdw blurRad="50800" dist="38100" dir="2700000" algn="tl"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205947</xdr:colOff>
      <xdr:row>11</xdr:row>
      <xdr:rowOff>446426</xdr:rowOff>
    </xdr:from>
    <xdr:to>
      <xdr:col>0</xdr:col>
      <xdr:colOff>10160001</xdr:colOff>
      <xdr:row>25</xdr:row>
      <xdr:rowOff>205945</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205947" y="5818183"/>
          <a:ext cx="9954054" cy="5508843"/>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t>Enter the number of radiators in your dwelling and for each</a:t>
          </a:r>
          <a:r>
            <a:rPr lang="en-GB" sz="2400" baseline="0"/>
            <a:t> radiator:</a:t>
          </a:r>
        </a:p>
        <a:p>
          <a:r>
            <a:rPr lang="en-GB" sz="2400" baseline="0"/>
            <a:t>1. Select the TYPE of radiator </a:t>
          </a:r>
        </a:p>
        <a:p>
          <a:r>
            <a:rPr lang="en-GB" sz="2400" baseline="0"/>
            <a:t>2. The HEIGHT and WIDTH of each radiator.</a:t>
          </a:r>
        </a:p>
        <a:p>
          <a:endParaRPr lang="en-GB" sz="2400" baseline="0"/>
        </a:p>
        <a:p>
          <a:r>
            <a:rPr lang="en-GB" sz="2400" baseline="0"/>
            <a:t>The spreadsheet calculates the amount of heat from each radiator which should add up to 100% of the household heat demand.</a:t>
          </a:r>
        </a:p>
        <a:p>
          <a:endParaRPr lang="en-GB" sz="2400" baseline="0"/>
        </a:p>
        <a:p>
          <a:r>
            <a:rPr lang="en-GB" sz="2400" baseline="0"/>
            <a:t>Adjust the number of radiators, their types and sizes to match the heating power required </a:t>
          </a:r>
        </a:p>
        <a:p>
          <a:endParaRPr lang="en-GB" sz="2400" baseline="0"/>
        </a:p>
        <a:p>
          <a:r>
            <a:rPr lang="en-GB" sz="2400" baseline="0"/>
            <a:t>If you can do this with a flow temperature less than 50 °C, you home is 'heat pump ready'.</a:t>
          </a:r>
        </a:p>
      </xdr:txBody>
    </xdr:sp>
    <xdr:clientData/>
  </xdr:twoCellAnchor>
  <xdr:twoCellAnchor>
    <xdr:from>
      <xdr:col>10</xdr:col>
      <xdr:colOff>1249404</xdr:colOff>
      <xdr:row>3</xdr:row>
      <xdr:rowOff>240268</xdr:rowOff>
    </xdr:from>
    <xdr:to>
      <xdr:col>13</xdr:col>
      <xdr:colOff>737972</xdr:colOff>
      <xdr:row>12</xdr:row>
      <xdr:rowOff>154458</xdr:rowOff>
    </xdr:to>
    <xdr:graphicFrame macro="">
      <xdr:nvGraphicFramePr>
        <xdr:cNvPr id="10" name="Chart 9">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0.1619</cdr:x>
      <cdr:y>0.32697</cdr:y>
    </cdr:from>
    <cdr:to>
      <cdr:x>0.28255</cdr:x>
      <cdr:y>0.42985</cdr:y>
    </cdr:to>
    <cdr:sp macro="" textlink="">
      <cdr:nvSpPr>
        <cdr:cNvPr id="2" name="TextBox 1">
          <a:extLst xmlns:a="http://schemas.openxmlformats.org/drawingml/2006/main">
            <a:ext uri="{FF2B5EF4-FFF2-40B4-BE49-F238E27FC236}">
              <a16:creationId xmlns:a16="http://schemas.microsoft.com/office/drawing/2014/main" id="{66261623-0CB8-F7A2-4704-271DE67F9F80}"/>
            </a:ext>
          </a:extLst>
        </cdr:cNvPr>
        <cdr:cNvSpPr txBox="1"/>
      </cdr:nvSpPr>
      <cdr:spPr>
        <a:xfrm xmlns:a="http://schemas.openxmlformats.org/drawingml/2006/main">
          <a:off x="740191" y="896955"/>
          <a:ext cx="551616" cy="28222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1100"/>
            <a:t>Slope = </a:t>
          </a:r>
        </a:p>
      </cdr:txBody>
    </cdr:sp>
  </cdr:relSizeAnchor>
  <cdr:relSizeAnchor xmlns:cdr="http://schemas.openxmlformats.org/drawingml/2006/chartDrawing">
    <cdr:from>
      <cdr:x>0.27615</cdr:x>
      <cdr:y>0.33034</cdr:y>
    </cdr:from>
    <cdr:to>
      <cdr:x>0.4032</cdr:x>
      <cdr:y>0.4205</cdr:y>
    </cdr:to>
    <cdr:sp macro="" textlink="'5 RADIATORS '!$H$74">
      <cdr:nvSpPr>
        <cdr:cNvPr id="3" name="TextBox 2">
          <a:extLst xmlns:a="http://schemas.openxmlformats.org/drawingml/2006/main">
            <a:ext uri="{FF2B5EF4-FFF2-40B4-BE49-F238E27FC236}">
              <a16:creationId xmlns:a16="http://schemas.microsoft.com/office/drawing/2014/main" id="{B349E083-FB48-A138-2257-1BA65EBF6F00}"/>
            </a:ext>
          </a:extLst>
        </cdr:cNvPr>
        <cdr:cNvSpPr txBox="1"/>
      </cdr:nvSpPr>
      <cdr:spPr>
        <a:xfrm xmlns:a="http://schemas.openxmlformats.org/drawingml/2006/main">
          <a:off x="1262559" y="906191"/>
          <a:ext cx="580864" cy="2473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fld id="{6FDCF131-B355-1647-AD13-C8CC664E6EB9}" type="TxLink">
            <a:rPr lang="en-US" sz="1100" b="0" i="0" u="none" strike="noStrike">
              <a:solidFill>
                <a:srgbClr val="000000"/>
              </a:solidFill>
              <a:latin typeface="Calibri"/>
              <a:cs typeface="Calibri"/>
            </a:rPr>
            <a:pPr/>
            <a:t> </a:t>
          </a:fld>
          <a:endParaRPr lang="en-GB" sz="1100"/>
        </a:p>
      </cdr:txBody>
    </cdr:sp>
  </cdr:relSizeAnchor>
  <cdr:relSizeAnchor xmlns:cdr="http://schemas.openxmlformats.org/drawingml/2006/chartDrawing">
    <cdr:from>
      <cdr:x>0.35831</cdr:x>
      <cdr:y>0.33165</cdr:y>
    </cdr:from>
    <cdr:to>
      <cdr:x>0.47896</cdr:x>
      <cdr:y>0.43453</cdr:y>
    </cdr:to>
    <cdr:sp macro="" textlink="">
      <cdr:nvSpPr>
        <cdr:cNvPr id="4" name="TextBox 3">
          <a:extLst xmlns:a="http://schemas.openxmlformats.org/drawingml/2006/main">
            <a:ext uri="{FF2B5EF4-FFF2-40B4-BE49-F238E27FC236}">
              <a16:creationId xmlns:a16="http://schemas.microsoft.com/office/drawing/2014/main" id="{6EB45BB1-4B1B-69FA-C3A2-77D43AE67C37}"/>
            </a:ext>
          </a:extLst>
        </cdr:cNvPr>
        <cdr:cNvSpPr txBox="1"/>
      </cdr:nvSpPr>
      <cdr:spPr>
        <a:xfrm xmlns:a="http://schemas.openxmlformats.org/drawingml/2006/main">
          <a:off x="1638171" y="909784"/>
          <a:ext cx="551616" cy="28222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1100"/>
            <a:t>/°C</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17.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CADC8-4458-43F4-95A8-A3C662E87551}">
  <dimension ref="A1"/>
  <sheetViews>
    <sheetView tabSelected="1" workbookViewId="0">
      <selection activeCell="C55" sqref="C55"/>
    </sheetView>
  </sheetViews>
  <sheetFormatPr baseColWidth="10" defaultRowHeight="15.75"/>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6A8EE-A6A6-344C-9166-05B60A89CB98}">
  <dimension ref="A1:AK26"/>
  <sheetViews>
    <sheetView zoomScale="89" zoomScaleNormal="89" workbookViewId="0">
      <selection activeCell="G7" sqref="G7"/>
    </sheetView>
  </sheetViews>
  <sheetFormatPr baseColWidth="10" defaultColWidth="10.875" defaultRowHeight="15.75"/>
  <cols>
    <col min="1" max="2" width="10.875" style="103"/>
    <col min="3" max="3" width="104.125" style="103" customWidth="1"/>
    <col min="4" max="16384" width="10.875" style="103"/>
  </cols>
  <sheetData>
    <row r="1" spans="1:37" s="210" customFormat="1" ht="61.5">
      <c r="A1" s="223" t="s">
        <v>153</v>
      </c>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row>
    <row r="2" spans="1:37" s="211" customFormat="1" ht="31.5">
      <c r="A2" s="225" t="s">
        <v>156</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row>
    <row r="3" spans="1:37" s="211" customFormat="1" ht="31.5">
      <c r="A3" s="225" t="s">
        <v>157</v>
      </c>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row>
    <row r="7" spans="1:37" ht="42">
      <c r="B7" s="219" t="s">
        <v>154</v>
      </c>
      <c r="C7" s="220" t="s">
        <v>242</v>
      </c>
    </row>
    <row r="8" spans="1:37" ht="21">
      <c r="B8" s="221"/>
      <c r="C8" s="220" t="s">
        <v>155</v>
      </c>
    </row>
    <row r="9" spans="1:37" ht="21">
      <c r="B9" s="214"/>
      <c r="C9" s="213"/>
    </row>
    <row r="10" spans="1:37" ht="42">
      <c r="B10" s="219" t="s">
        <v>158</v>
      </c>
      <c r="C10" s="220" t="s">
        <v>245</v>
      </c>
    </row>
    <row r="11" spans="1:37" ht="21">
      <c r="B11" s="214"/>
      <c r="C11" s="213"/>
    </row>
    <row r="12" spans="1:37" ht="42">
      <c r="B12" s="219" t="s">
        <v>160</v>
      </c>
      <c r="C12" s="220" t="s">
        <v>246</v>
      </c>
    </row>
    <row r="13" spans="1:37" ht="42">
      <c r="B13" s="221"/>
      <c r="C13" s="220" t="s">
        <v>159</v>
      </c>
    </row>
    <row r="14" spans="1:37" ht="21">
      <c r="B14" s="214"/>
      <c r="C14" s="213"/>
    </row>
    <row r="15" spans="1:37" ht="63">
      <c r="B15" s="219" t="s">
        <v>161</v>
      </c>
      <c r="C15" s="220" t="s">
        <v>247</v>
      </c>
    </row>
    <row r="16" spans="1:37" ht="21">
      <c r="B16" s="221"/>
      <c r="C16" s="222" t="s">
        <v>163</v>
      </c>
    </row>
    <row r="17" spans="2:4" ht="63">
      <c r="B17" s="221"/>
      <c r="C17" s="220" t="s">
        <v>248</v>
      </c>
    </row>
    <row r="18" spans="2:4" ht="21">
      <c r="B18" s="214"/>
      <c r="C18" s="213"/>
    </row>
    <row r="19" spans="2:4" ht="21">
      <c r="B19" s="219" t="s">
        <v>162</v>
      </c>
      <c r="C19" s="220" t="s">
        <v>164</v>
      </c>
    </row>
    <row r="20" spans="2:4" ht="21">
      <c r="B20" s="213"/>
      <c r="C20" s="213"/>
    </row>
    <row r="21" spans="2:4" ht="21">
      <c r="B21" s="212"/>
      <c r="C21" s="216" t="s">
        <v>243</v>
      </c>
    </row>
    <row r="22" spans="2:4" ht="42">
      <c r="B22" s="213"/>
      <c r="C22" s="215" t="s">
        <v>244</v>
      </c>
    </row>
    <row r="23" spans="2:4" ht="42.75" thickBot="1">
      <c r="B23" s="216"/>
      <c r="C23" s="217" t="s">
        <v>249</v>
      </c>
    </row>
    <row r="24" spans="2:4" ht="27" thickBot="1">
      <c r="B24" s="213"/>
      <c r="C24" s="218" t="s">
        <v>261</v>
      </c>
      <c r="D24" s="3">
        <v>15000</v>
      </c>
    </row>
    <row r="25" spans="2:4" ht="27" thickBot="1">
      <c r="B25" s="213"/>
      <c r="C25" s="218" t="s">
        <v>262</v>
      </c>
      <c r="D25" s="4">
        <v>4000</v>
      </c>
    </row>
    <row r="26" spans="2:4" ht="21">
      <c r="B26" s="213"/>
      <c r="C26" s="213"/>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86824-87B7-2746-BB29-E825EC84B584}">
  <dimension ref="A1:BO50"/>
  <sheetViews>
    <sheetView zoomScale="70" zoomScaleNormal="76" workbookViewId="0">
      <selection activeCell="AD35" sqref="AD35"/>
    </sheetView>
  </sheetViews>
  <sheetFormatPr baseColWidth="10" defaultColWidth="10.875" defaultRowHeight="23.25"/>
  <cols>
    <col min="1" max="1" width="12.625" style="79" customWidth="1"/>
    <col min="2" max="2" width="23" style="79" customWidth="1"/>
    <col min="3" max="3" width="10.875" style="79"/>
    <col min="4" max="4" width="25.5" style="79" customWidth="1"/>
    <col min="5" max="29" width="7.5" style="79" customWidth="1"/>
    <col min="30" max="30" width="14" style="79" customWidth="1"/>
    <col min="31" max="31" width="11.375" style="79" bestFit="1" customWidth="1"/>
    <col min="32" max="32" width="14.375" style="79" customWidth="1"/>
    <col min="33" max="33" width="10.875" style="79"/>
    <col min="34" max="34" width="13.5" style="79" bestFit="1" customWidth="1"/>
    <col min="35" max="16384" width="10.875" style="79"/>
  </cols>
  <sheetData>
    <row r="1" spans="1:45" s="118" customFormat="1" ht="61.5">
      <c r="A1" s="119" t="s">
        <v>227</v>
      </c>
    </row>
    <row r="2" spans="1:45" s="91" customFormat="1" ht="31.5">
      <c r="A2" s="91" t="s">
        <v>116</v>
      </c>
    </row>
    <row r="3" spans="1:45" s="91" customFormat="1" ht="31.5">
      <c r="A3" s="91" t="s">
        <v>127</v>
      </c>
    </row>
    <row r="4" spans="1:45">
      <c r="A4" s="94"/>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row>
    <row r="5" spans="1:45" ht="24" thickBot="1">
      <c r="A5" s="94"/>
      <c r="B5" s="94"/>
      <c r="C5" s="94"/>
      <c r="D5" s="99" t="s">
        <v>110</v>
      </c>
      <c r="E5" s="89">
        <v>0</v>
      </c>
      <c r="F5" s="89">
        <v>1</v>
      </c>
      <c r="G5" s="89">
        <v>2</v>
      </c>
      <c r="H5" s="89">
        <v>3</v>
      </c>
      <c r="I5" s="89">
        <v>4</v>
      </c>
      <c r="J5" s="89">
        <v>5</v>
      </c>
      <c r="K5" s="89">
        <v>6</v>
      </c>
      <c r="L5" s="89">
        <v>7</v>
      </c>
      <c r="M5" s="89">
        <v>8</v>
      </c>
      <c r="N5" s="89">
        <v>9</v>
      </c>
      <c r="O5" s="89">
        <v>10</v>
      </c>
      <c r="P5" s="89">
        <v>11</v>
      </c>
      <c r="Q5" s="89">
        <v>12</v>
      </c>
      <c r="R5" s="89">
        <v>13</v>
      </c>
      <c r="S5" s="89">
        <v>14</v>
      </c>
      <c r="T5" s="89">
        <v>15</v>
      </c>
      <c r="U5" s="89">
        <v>16</v>
      </c>
      <c r="V5" s="89">
        <v>17</v>
      </c>
      <c r="W5" s="89">
        <v>18</v>
      </c>
      <c r="X5" s="89">
        <v>19</v>
      </c>
      <c r="Y5" s="89">
        <v>20</v>
      </c>
      <c r="Z5" s="89">
        <v>21</v>
      </c>
      <c r="AA5" s="89">
        <v>22</v>
      </c>
      <c r="AB5" s="89">
        <v>23</v>
      </c>
      <c r="AC5" s="89">
        <v>24</v>
      </c>
      <c r="AD5" s="94"/>
      <c r="AE5" s="81" t="s">
        <v>112</v>
      </c>
      <c r="AF5" s="94"/>
      <c r="AG5" s="94"/>
      <c r="AH5" s="81" t="s">
        <v>129</v>
      </c>
      <c r="AI5" s="94"/>
      <c r="AJ5" s="94"/>
      <c r="AK5" s="94"/>
      <c r="AL5" s="94"/>
      <c r="AM5" s="94"/>
      <c r="AN5" s="94"/>
      <c r="AO5" s="94"/>
      <c r="AP5" s="94"/>
      <c r="AQ5" s="94"/>
      <c r="AR5" s="94"/>
      <c r="AS5" s="94"/>
    </row>
    <row r="6" spans="1:45" ht="27" thickBot="1">
      <c r="A6" s="94"/>
      <c r="B6" s="94"/>
      <c r="C6" s="94"/>
      <c r="D6" s="99" t="s">
        <v>111</v>
      </c>
      <c r="E6" s="90">
        <f>VLOOKUP(E19,A8:C10,3,FALSE)</f>
        <v>16</v>
      </c>
      <c r="F6" s="90">
        <f>E6</f>
        <v>16</v>
      </c>
      <c r="G6" s="90">
        <f>E6</f>
        <v>16</v>
      </c>
      <c r="H6" s="90">
        <f t="shared" ref="H6" si="0">G6</f>
        <v>16</v>
      </c>
      <c r="I6" s="90">
        <f t="shared" ref="I6" si="1">G6</f>
        <v>16</v>
      </c>
      <c r="J6" s="90">
        <f t="shared" ref="J6" si="2">I6</f>
        <v>16</v>
      </c>
      <c r="K6" s="90">
        <f>VLOOKUP(K19,$A$8:$C$10,3,FALSE)</f>
        <v>23</v>
      </c>
      <c r="L6" s="90">
        <f>K6</f>
        <v>23</v>
      </c>
      <c r="M6" s="90">
        <f t="shared" ref="M6:N6" si="3">L6</f>
        <v>23</v>
      </c>
      <c r="N6" s="90">
        <f t="shared" si="3"/>
        <v>23</v>
      </c>
      <c r="O6" s="90">
        <f>VLOOKUP($R$19,$A$8:$C$10,3,FALSE)</f>
        <v>18</v>
      </c>
      <c r="P6" s="90">
        <f>O6</f>
        <v>18</v>
      </c>
      <c r="Q6" s="90">
        <f t="shared" ref="Q6:U6" si="4">P6</f>
        <v>18</v>
      </c>
      <c r="R6" s="90">
        <f t="shared" si="4"/>
        <v>18</v>
      </c>
      <c r="S6" s="90">
        <f t="shared" si="4"/>
        <v>18</v>
      </c>
      <c r="T6" s="90">
        <f t="shared" si="4"/>
        <v>18</v>
      </c>
      <c r="U6" s="90">
        <f t="shared" si="4"/>
        <v>18</v>
      </c>
      <c r="V6" s="90">
        <f>VLOOKUP($W$19,$A$8:$C$10,3,FALSE)</f>
        <v>23</v>
      </c>
      <c r="W6" s="90">
        <f t="shared" ref="W6:AB6" si="5">VLOOKUP($W$19,$A$8:$C$10,3,FALSE)</f>
        <v>23</v>
      </c>
      <c r="X6" s="90">
        <f t="shared" si="5"/>
        <v>23</v>
      </c>
      <c r="Y6" s="90">
        <f t="shared" si="5"/>
        <v>23</v>
      </c>
      <c r="Z6" s="90">
        <f t="shared" si="5"/>
        <v>23</v>
      </c>
      <c r="AA6" s="90">
        <f t="shared" si="5"/>
        <v>23</v>
      </c>
      <c r="AB6" s="90">
        <f t="shared" si="5"/>
        <v>23</v>
      </c>
      <c r="AC6" s="90">
        <f>AB6</f>
        <v>23</v>
      </c>
      <c r="AD6" s="94"/>
      <c r="AE6" s="82">
        <f>AVERAGE(E6:AB6)</f>
        <v>19.791666666666668</v>
      </c>
      <c r="AF6" s="94" t="s">
        <v>5</v>
      </c>
      <c r="AG6" s="94"/>
      <c r="AH6" s="82">
        <f>MAX(E6:AC6)</f>
        <v>23</v>
      </c>
      <c r="AI6" s="94" t="s">
        <v>5</v>
      </c>
      <c r="AJ6" s="94"/>
      <c r="AK6" s="94"/>
      <c r="AL6" s="94"/>
      <c r="AM6" s="94"/>
      <c r="AN6" s="94"/>
      <c r="AO6" s="94"/>
      <c r="AP6" s="94"/>
      <c r="AQ6" s="94"/>
      <c r="AR6" s="94"/>
      <c r="AS6" s="94"/>
    </row>
    <row r="7" spans="1:45" ht="24" thickBot="1">
      <c r="A7" s="9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row>
    <row r="8" spans="1:45" ht="24" thickBot="1">
      <c r="A8" s="101">
        <v>1</v>
      </c>
      <c r="B8" s="102" t="s">
        <v>113</v>
      </c>
      <c r="C8" s="80">
        <v>23</v>
      </c>
      <c r="D8" s="100" t="s">
        <v>5</v>
      </c>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row>
    <row r="9" spans="1:45" ht="24" thickBot="1">
      <c r="A9" s="101">
        <v>2</v>
      </c>
      <c r="B9" s="102" t="s">
        <v>114</v>
      </c>
      <c r="C9" s="80">
        <v>18</v>
      </c>
      <c r="D9" s="100" t="s">
        <v>5</v>
      </c>
      <c r="E9" s="120"/>
      <c r="F9" s="120"/>
      <c r="G9" s="120"/>
      <c r="H9" s="120"/>
      <c r="I9" s="120"/>
      <c r="J9" s="120"/>
      <c r="K9" s="120"/>
      <c r="L9" s="120"/>
      <c r="M9" s="120"/>
      <c r="N9" s="120"/>
      <c r="O9" s="120"/>
      <c r="P9" s="120"/>
      <c r="Q9" s="120"/>
      <c r="R9" s="120"/>
      <c r="S9" s="120"/>
      <c r="T9" s="120"/>
      <c r="U9" s="120"/>
      <c r="V9" s="120"/>
      <c r="W9" s="120"/>
      <c r="X9" s="120"/>
      <c r="Y9" s="120"/>
      <c r="Z9" s="120" t="s">
        <v>101</v>
      </c>
      <c r="AA9" s="120"/>
      <c r="AB9" s="120"/>
      <c r="AC9" s="94"/>
      <c r="AD9" s="94"/>
      <c r="AE9" s="94"/>
      <c r="AF9" s="94"/>
      <c r="AG9" s="94"/>
      <c r="AH9" s="94"/>
      <c r="AI9" s="94"/>
      <c r="AJ9" s="94"/>
      <c r="AK9" s="94"/>
      <c r="AL9" s="94"/>
      <c r="AM9" s="94"/>
      <c r="AN9" s="94"/>
      <c r="AO9" s="94"/>
      <c r="AP9" s="94"/>
      <c r="AQ9" s="94"/>
      <c r="AR9" s="94"/>
      <c r="AS9" s="94"/>
    </row>
    <row r="10" spans="1:45" ht="24" thickBot="1">
      <c r="A10" s="101">
        <v>3</v>
      </c>
      <c r="B10" s="102" t="s">
        <v>115</v>
      </c>
      <c r="C10" s="80">
        <v>16</v>
      </c>
      <c r="D10" s="100" t="s">
        <v>5</v>
      </c>
      <c r="E10" s="120"/>
      <c r="F10" s="120"/>
      <c r="G10" s="120"/>
      <c r="H10" s="120"/>
      <c r="I10" s="120"/>
      <c r="J10" s="120"/>
      <c r="K10" s="120"/>
      <c r="L10" s="120"/>
      <c r="M10" s="120"/>
      <c r="N10" s="120"/>
      <c r="O10" s="120"/>
      <c r="P10" s="120"/>
      <c r="Q10" s="120"/>
      <c r="R10" s="120"/>
      <c r="S10" s="120"/>
      <c r="T10" s="120"/>
      <c r="U10" s="120"/>
      <c r="V10" s="120"/>
      <c r="W10" s="120"/>
      <c r="X10" s="120"/>
      <c r="Y10" s="120"/>
      <c r="Z10" s="120">
        <v>0</v>
      </c>
      <c r="AA10" s="121">
        <f>AE6</f>
        <v>19.791666666666668</v>
      </c>
      <c r="AB10" s="120"/>
      <c r="AC10" s="94"/>
      <c r="AD10" s="94"/>
      <c r="AE10" s="94"/>
      <c r="AF10" s="94"/>
      <c r="AG10" s="94"/>
      <c r="AH10" s="94"/>
      <c r="AI10" s="94"/>
      <c r="AJ10" s="94"/>
      <c r="AK10" s="94"/>
      <c r="AL10" s="94"/>
      <c r="AM10" s="94"/>
      <c r="AN10" s="94"/>
      <c r="AO10" s="94"/>
      <c r="AP10" s="94"/>
      <c r="AQ10" s="94"/>
      <c r="AR10" s="94"/>
      <c r="AS10" s="94"/>
    </row>
    <row r="11" spans="1:45">
      <c r="A11" s="95"/>
      <c r="B11" s="94"/>
      <c r="C11" s="94"/>
      <c r="D11" s="94"/>
      <c r="E11" s="120"/>
      <c r="F11" s="120"/>
      <c r="G11" s="120"/>
      <c r="H11" s="120"/>
      <c r="I11" s="120"/>
      <c r="J11" s="120"/>
      <c r="K11" s="120"/>
      <c r="L11" s="120"/>
      <c r="M11" s="120"/>
      <c r="N11" s="120"/>
      <c r="O11" s="120"/>
      <c r="P11" s="120"/>
      <c r="Q11" s="120"/>
      <c r="R11" s="120"/>
      <c r="S11" s="120"/>
      <c r="T11" s="120"/>
      <c r="U11" s="120"/>
      <c r="V11" s="120"/>
      <c r="W11" s="120"/>
      <c r="X11" s="120"/>
      <c r="Y11" s="120"/>
      <c r="Z11" s="120">
        <v>24</v>
      </c>
      <c r="AA11" s="121">
        <f>AA10</f>
        <v>19.791666666666668</v>
      </c>
      <c r="AB11" s="120"/>
      <c r="AC11" s="94"/>
      <c r="AD11" s="94"/>
      <c r="AE11" s="94"/>
      <c r="AF11" s="94"/>
      <c r="AG11" s="94"/>
      <c r="AH11" s="94"/>
      <c r="AI11" s="94"/>
      <c r="AJ11" s="94"/>
      <c r="AK11" s="94"/>
      <c r="AL11" s="94"/>
      <c r="AM11" s="94"/>
      <c r="AN11" s="94"/>
      <c r="AO11" s="94"/>
      <c r="AP11" s="94"/>
      <c r="AQ11" s="94"/>
      <c r="AR11" s="94"/>
      <c r="AS11" s="94"/>
    </row>
    <row r="12" spans="1:45">
      <c r="A12" s="95"/>
      <c r="B12" s="94"/>
      <c r="C12" s="94"/>
      <c r="D12" s="94"/>
      <c r="E12" s="120"/>
      <c r="F12" s="120"/>
      <c r="G12" s="120"/>
      <c r="H12" s="120"/>
      <c r="I12" s="120"/>
      <c r="J12" s="120"/>
      <c r="K12" s="120"/>
      <c r="L12" s="120"/>
      <c r="M12" s="120"/>
      <c r="N12" s="120"/>
      <c r="O12" s="120"/>
      <c r="P12" s="120"/>
      <c r="Q12" s="120"/>
      <c r="R12" s="120"/>
      <c r="S12" s="120"/>
      <c r="T12" s="120"/>
      <c r="U12" s="120"/>
      <c r="V12" s="120"/>
      <c r="W12" s="120"/>
      <c r="X12" s="120"/>
      <c r="Y12" s="120"/>
      <c r="Z12" s="120"/>
      <c r="AA12" s="121"/>
      <c r="AB12" s="120"/>
      <c r="AC12" s="94"/>
      <c r="AD12" s="94"/>
      <c r="AE12" s="94"/>
      <c r="AF12" s="94"/>
      <c r="AG12" s="94"/>
      <c r="AH12" s="94"/>
      <c r="AI12" s="94"/>
      <c r="AJ12" s="94"/>
      <c r="AK12" s="94"/>
      <c r="AL12" s="94"/>
      <c r="AM12" s="94"/>
      <c r="AN12" s="94"/>
      <c r="AO12" s="94"/>
      <c r="AP12" s="94"/>
      <c r="AQ12" s="94"/>
      <c r="AR12" s="94"/>
      <c r="AS12" s="94"/>
    </row>
    <row r="13" spans="1:45">
      <c r="A13" s="95"/>
      <c r="B13" s="94"/>
      <c r="C13" s="94"/>
      <c r="D13" s="94"/>
      <c r="E13" s="120"/>
      <c r="F13" s="120"/>
      <c r="G13" s="120"/>
      <c r="H13" s="120"/>
      <c r="I13" s="120"/>
      <c r="J13" s="120"/>
      <c r="K13" s="120"/>
      <c r="L13" s="120"/>
      <c r="M13" s="120"/>
      <c r="N13" s="120"/>
      <c r="O13" s="120"/>
      <c r="P13" s="120"/>
      <c r="Q13" s="120"/>
      <c r="R13" s="120"/>
      <c r="S13" s="120"/>
      <c r="T13" s="120"/>
      <c r="U13" s="120"/>
      <c r="V13" s="120"/>
      <c r="W13" s="120"/>
      <c r="X13" s="120"/>
      <c r="Y13" s="120"/>
      <c r="Z13" s="120"/>
      <c r="AA13" s="121"/>
      <c r="AB13" s="120"/>
      <c r="AC13" s="94"/>
      <c r="AD13" s="94"/>
      <c r="AE13" s="94"/>
      <c r="AF13" s="94"/>
      <c r="AG13" s="94"/>
      <c r="AH13" s="94"/>
      <c r="AI13" s="94"/>
      <c r="AJ13" s="94"/>
      <c r="AK13" s="94"/>
      <c r="AL13" s="94"/>
      <c r="AM13" s="94"/>
      <c r="AN13" s="94"/>
      <c r="AO13" s="94"/>
      <c r="AP13" s="94"/>
      <c r="AQ13" s="94"/>
      <c r="AR13" s="94"/>
      <c r="AS13" s="94"/>
    </row>
    <row r="14" spans="1:45">
      <c r="A14" s="95"/>
      <c r="B14" s="94"/>
      <c r="C14" s="94"/>
      <c r="D14" s="94"/>
      <c r="E14" s="120"/>
      <c r="F14" s="120"/>
      <c r="G14" s="120"/>
      <c r="H14" s="120"/>
      <c r="I14" s="120"/>
      <c r="J14" s="120"/>
      <c r="K14" s="120"/>
      <c r="L14" s="120"/>
      <c r="M14" s="120"/>
      <c r="N14" s="120"/>
      <c r="O14" s="120"/>
      <c r="P14" s="120"/>
      <c r="Q14" s="120"/>
      <c r="R14" s="120"/>
      <c r="S14" s="120"/>
      <c r="T14" s="120"/>
      <c r="U14" s="120"/>
      <c r="V14" s="120"/>
      <c r="W14" s="120"/>
      <c r="X14" s="120"/>
      <c r="Y14" s="120"/>
      <c r="Z14" s="120"/>
      <c r="AA14" s="121"/>
      <c r="AB14" s="120"/>
      <c r="AC14" s="94"/>
      <c r="AD14" s="94"/>
      <c r="AE14" s="94"/>
      <c r="AF14" s="94"/>
      <c r="AG14" s="94"/>
      <c r="AH14" s="94"/>
      <c r="AI14" s="94"/>
      <c r="AJ14" s="94"/>
      <c r="AK14" s="94"/>
      <c r="AL14" s="94"/>
      <c r="AM14" s="94"/>
      <c r="AN14" s="94"/>
      <c r="AO14" s="94"/>
      <c r="AP14" s="94"/>
      <c r="AQ14" s="94"/>
      <c r="AR14" s="94"/>
      <c r="AS14" s="94"/>
    </row>
    <row r="15" spans="1:45">
      <c r="A15" s="95"/>
      <c r="B15" s="94"/>
      <c r="C15" s="94"/>
      <c r="D15" s="94"/>
      <c r="E15" s="120"/>
      <c r="F15" s="120"/>
      <c r="G15" s="120"/>
      <c r="H15" s="120"/>
      <c r="I15" s="120"/>
      <c r="J15" s="120"/>
      <c r="K15" s="120"/>
      <c r="L15" s="120"/>
      <c r="M15" s="120"/>
      <c r="N15" s="120"/>
      <c r="O15" s="120"/>
      <c r="P15" s="120"/>
      <c r="Q15" s="120"/>
      <c r="R15" s="120"/>
      <c r="S15" s="120"/>
      <c r="T15" s="120"/>
      <c r="U15" s="120"/>
      <c r="V15" s="120"/>
      <c r="W15" s="120"/>
      <c r="X15" s="120"/>
      <c r="Y15" s="120"/>
      <c r="Z15" s="120"/>
      <c r="AA15" s="121"/>
      <c r="AB15" s="120"/>
      <c r="AC15" s="94"/>
      <c r="AD15" s="94"/>
      <c r="AE15" s="94"/>
      <c r="AF15" s="94"/>
      <c r="AG15" s="94"/>
      <c r="AH15" s="94"/>
      <c r="AI15" s="94"/>
      <c r="AJ15" s="94"/>
      <c r="AK15" s="94"/>
      <c r="AL15" s="94"/>
      <c r="AM15" s="94"/>
      <c r="AN15" s="94"/>
      <c r="AO15" s="94"/>
      <c r="AP15" s="94"/>
      <c r="AQ15" s="94"/>
      <c r="AR15" s="94"/>
      <c r="AS15" s="94"/>
    </row>
    <row r="16" spans="1:45">
      <c r="A16" s="95"/>
      <c r="B16" s="94"/>
      <c r="C16" s="94"/>
      <c r="D16" s="94"/>
      <c r="E16" s="120"/>
      <c r="F16" s="120"/>
      <c r="G16" s="120"/>
      <c r="H16" s="120"/>
      <c r="I16" s="120"/>
      <c r="J16" s="120"/>
      <c r="K16" s="120"/>
      <c r="L16" s="120"/>
      <c r="M16" s="120"/>
      <c r="N16" s="120"/>
      <c r="O16" s="120"/>
      <c r="P16" s="120"/>
      <c r="Q16" s="120"/>
      <c r="R16" s="120"/>
      <c r="S16" s="120"/>
      <c r="T16" s="120"/>
      <c r="U16" s="120"/>
      <c r="V16" s="120"/>
      <c r="W16" s="120"/>
      <c r="X16" s="120"/>
      <c r="Y16" s="120"/>
      <c r="Z16" s="120"/>
      <c r="AA16" s="121"/>
      <c r="AB16" s="120"/>
      <c r="AC16" s="94"/>
      <c r="AD16" s="94"/>
      <c r="AE16" s="94"/>
      <c r="AF16" s="94"/>
      <c r="AG16" s="94"/>
      <c r="AH16" s="94"/>
      <c r="AI16" s="94"/>
      <c r="AJ16" s="94"/>
      <c r="AK16" s="94"/>
      <c r="AL16" s="94"/>
      <c r="AM16" s="94"/>
      <c r="AN16" s="94"/>
      <c r="AO16" s="94"/>
      <c r="AP16" s="94"/>
      <c r="AQ16" s="94"/>
      <c r="AR16" s="94"/>
      <c r="AS16" s="94"/>
    </row>
    <row r="17" spans="1:67">
      <c r="A17" s="95"/>
      <c r="B17" s="94"/>
      <c r="C17" s="94"/>
      <c r="D17" s="94"/>
      <c r="E17" s="120"/>
      <c r="F17" s="120"/>
      <c r="G17" s="120"/>
      <c r="H17" s="120"/>
      <c r="I17" s="120"/>
      <c r="J17" s="120"/>
      <c r="K17" s="120"/>
      <c r="L17" s="120"/>
      <c r="M17" s="120"/>
      <c r="N17" s="120"/>
      <c r="O17" s="120"/>
      <c r="P17" s="120"/>
      <c r="Q17" s="120"/>
      <c r="R17" s="120"/>
      <c r="S17" s="120"/>
      <c r="T17" s="120"/>
      <c r="U17" s="120"/>
      <c r="V17" s="120"/>
      <c r="W17" s="120"/>
      <c r="X17" s="120"/>
      <c r="Y17" s="120"/>
      <c r="Z17" s="120"/>
      <c r="AA17" s="121"/>
      <c r="AB17" s="120"/>
      <c r="AC17" s="94"/>
      <c r="AD17" s="94"/>
      <c r="AE17" s="94"/>
      <c r="AF17" s="94"/>
      <c r="AG17" s="94"/>
      <c r="AH17" s="94"/>
      <c r="AI17" s="94"/>
      <c r="AJ17" s="94"/>
      <c r="AK17" s="94"/>
      <c r="AL17" s="94"/>
      <c r="AM17" s="94"/>
      <c r="AN17" s="94"/>
      <c r="AO17" s="94"/>
      <c r="AP17" s="94"/>
      <c r="AQ17" s="94"/>
      <c r="AR17" s="94"/>
      <c r="AS17" s="94"/>
    </row>
    <row r="18" spans="1:67">
      <c r="A18" s="95"/>
      <c r="B18" s="94"/>
      <c r="C18" s="94"/>
      <c r="D18" s="94"/>
      <c r="E18" s="120"/>
      <c r="F18" s="120"/>
      <c r="G18" s="120"/>
      <c r="H18" s="120"/>
      <c r="I18" s="120"/>
      <c r="J18" s="120"/>
      <c r="K18" s="120"/>
      <c r="L18" s="120"/>
      <c r="M18" s="120"/>
      <c r="N18" s="120"/>
      <c r="O18" s="120"/>
      <c r="P18" s="120"/>
      <c r="Q18" s="120"/>
      <c r="R18" s="120"/>
      <c r="S18" s="120"/>
      <c r="T18" s="120"/>
      <c r="U18" s="120"/>
      <c r="V18" s="120"/>
      <c r="W18" s="120"/>
      <c r="X18" s="120"/>
      <c r="Y18" s="120"/>
      <c r="Z18" s="120"/>
      <c r="AA18" s="121"/>
      <c r="AB18" s="120"/>
      <c r="AC18" s="94"/>
      <c r="AD18" s="94"/>
      <c r="AE18" s="94"/>
      <c r="AF18" s="94"/>
      <c r="AG18" s="94"/>
      <c r="AH18" s="94"/>
      <c r="AI18" s="94"/>
      <c r="AJ18" s="94"/>
      <c r="AK18" s="94"/>
      <c r="AL18" s="94"/>
      <c r="AM18" s="94"/>
      <c r="AN18" s="94"/>
      <c r="AO18" s="94"/>
      <c r="AP18" s="94"/>
      <c r="AQ18" s="94"/>
      <c r="AR18" s="94"/>
      <c r="AS18" s="94"/>
    </row>
    <row r="19" spans="1:67">
      <c r="A19" s="95"/>
      <c r="B19" s="94"/>
      <c r="C19" s="94"/>
      <c r="D19" s="94"/>
      <c r="E19" s="120">
        <v>3</v>
      </c>
      <c r="F19" s="120"/>
      <c r="G19" s="120"/>
      <c r="H19" s="120"/>
      <c r="I19" s="120"/>
      <c r="J19" s="120"/>
      <c r="K19" s="120">
        <v>1</v>
      </c>
      <c r="L19" s="120"/>
      <c r="M19" s="120"/>
      <c r="N19" s="120"/>
      <c r="O19" s="120"/>
      <c r="P19" s="120"/>
      <c r="Q19" s="120"/>
      <c r="R19" s="120">
        <v>2</v>
      </c>
      <c r="S19" s="120"/>
      <c r="T19" s="120"/>
      <c r="U19" s="120"/>
      <c r="V19" s="120"/>
      <c r="W19" s="120">
        <v>1</v>
      </c>
      <c r="X19" s="120"/>
      <c r="Y19" s="120"/>
      <c r="Z19" s="120"/>
      <c r="AA19" s="120"/>
      <c r="AB19" s="120"/>
      <c r="AC19" s="94"/>
      <c r="AD19" s="94"/>
      <c r="AE19" s="94"/>
      <c r="AF19" s="94"/>
      <c r="AG19" s="94"/>
      <c r="AH19" s="94"/>
      <c r="AI19" s="94"/>
      <c r="AJ19" s="94"/>
      <c r="AK19" s="94"/>
      <c r="AL19" s="94"/>
      <c r="AM19" s="94"/>
      <c r="AN19" s="94"/>
      <c r="AO19" s="94"/>
      <c r="AP19" s="94"/>
      <c r="AQ19" s="94"/>
      <c r="AR19" s="94"/>
      <c r="AS19" s="94"/>
    </row>
    <row r="20" spans="1:67">
      <c r="A20" s="95"/>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94"/>
      <c r="AM20" s="94"/>
      <c r="AN20" s="94"/>
      <c r="AO20" s="94"/>
      <c r="AP20" s="94"/>
      <c r="AQ20" s="94"/>
      <c r="AR20" s="94"/>
      <c r="AS20" s="94"/>
    </row>
    <row r="21" spans="1:67">
      <c r="A21" s="95"/>
      <c r="B21" s="94"/>
      <c r="C21" s="94"/>
      <c r="D21" s="94"/>
      <c r="E21" s="94"/>
      <c r="F21" s="94"/>
      <c r="G21" s="94"/>
      <c r="H21" s="94"/>
      <c r="I21" s="94"/>
      <c r="J21" s="94"/>
      <c r="K21" s="94"/>
      <c r="L21" s="94"/>
      <c r="M21" s="94"/>
      <c r="N21" s="94"/>
      <c r="O21" s="94"/>
      <c r="P21" s="94"/>
      <c r="Q21" s="94"/>
      <c r="R21" s="94"/>
      <c r="S21" s="94"/>
      <c r="T21" s="94"/>
      <c r="U21" s="94"/>
      <c r="V21" s="94"/>
      <c r="W21" s="94"/>
      <c r="X21" s="94"/>
      <c r="Y21" s="94"/>
      <c r="Z21" s="94"/>
      <c r="AA21" s="94"/>
      <c r="AB21" s="94"/>
      <c r="AC21" s="94"/>
      <c r="AD21" s="94"/>
      <c r="AE21" s="94"/>
      <c r="AF21" s="94"/>
      <c r="AG21" s="94"/>
      <c r="AH21" s="94"/>
      <c r="AI21" s="94"/>
      <c r="AJ21" s="94"/>
      <c r="AK21" s="94"/>
      <c r="AL21" s="94"/>
      <c r="AM21" s="94"/>
      <c r="AN21" s="94"/>
      <c r="AO21" s="94"/>
      <c r="AP21" s="94"/>
      <c r="AQ21" s="94"/>
      <c r="AR21" s="94"/>
      <c r="AS21" s="94"/>
    </row>
    <row r="22" spans="1:67">
      <c r="A22" s="95"/>
      <c r="B22" s="94"/>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row>
    <row r="23" spans="1:67">
      <c r="A23" s="95"/>
      <c r="B23" s="94"/>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c r="AD23" s="94"/>
      <c r="AE23" s="94"/>
      <c r="AF23" s="94"/>
      <c r="AG23" s="94"/>
      <c r="AH23" s="94"/>
      <c r="AI23" s="94"/>
      <c r="AJ23" s="94"/>
      <c r="AK23" s="94"/>
      <c r="AL23" s="94"/>
      <c r="AM23" s="94"/>
      <c r="AN23" s="94"/>
      <c r="AO23" s="94"/>
      <c r="AP23" s="94"/>
      <c r="AQ23" s="94"/>
      <c r="AR23" s="94"/>
      <c r="AS23" s="94"/>
    </row>
    <row r="24" spans="1:67">
      <c r="A24" s="95"/>
      <c r="B24" s="94"/>
      <c r="C24" s="94"/>
      <c r="D24" s="94"/>
      <c r="E24" s="94"/>
      <c r="F24" s="94"/>
      <c r="G24" s="94"/>
      <c r="H24" s="94"/>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94"/>
      <c r="AI24" s="94"/>
      <c r="AJ24" s="94"/>
      <c r="AK24" s="94"/>
      <c r="AL24" s="94"/>
      <c r="AM24" s="94"/>
      <c r="AN24" s="94"/>
      <c r="AO24" s="94"/>
      <c r="AP24" s="94"/>
      <c r="AQ24" s="94"/>
      <c r="AR24" s="94"/>
      <c r="AS24" s="94"/>
    </row>
    <row r="25" spans="1:67">
      <c r="A25" s="95"/>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row>
    <row r="26" spans="1:67">
      <c r="A26" s="95"/>
      <c r="B26" s="94"/>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c r="BN26" s="94"/>
      <c r="BO26" s="94"/>
    </row>
    <row r="27" spans="1:67">
      <c r="A27" s="95"/>
      <c r="B27" s="94"/>
      <c r="C27" s="94"/>
      <c r="D27" s="94"/>
      <c r="E27" s="94"/>
      <c r="F27" s="94"/>
      <c r="G27" s="94"/>
      <c r="H27" s="94"/>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row>
    <row r="28" spans="1:67">
      <c r="A28" s="95"/>
      <c r="B28" s="94"/>
      <c r="C28" s="94"/>
      <c r="D28" s="94"/>
      <c r="E28" s="94"/>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row>
    <row r="29" spans="1:67">
      <c r="A29" s="95"/>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94"/>
      <c r="BN29" s="94"/>
      <c r="BO29" s="94"/>
    </row>
    <row r="30" spans="1:67">
      <c r="A30" s="96"/>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c r="BJ30" s="94"/>
      <c r="BK30" s="94"/>
      <c r="BL30" s="94"/>
      <c r="BM30" s="94"/>
      <c r="BN30" s="94"/>
      <c r="BO30" s="94"/>
    </row>
    <row r="31" spans="1:67">
      <c r="A31" s="96"/>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4"/>
      <c r="BJ31" s="94"/>
      <c r="BK31" s="94"/>
      <c r="BL31" s="94"/>
      <c r="BM31" s="94"/>
      <c r="BN31" s="94"/>
      <c r="BO31" s="94"/>
    </row>
    <row r="32" spans="1:67">
      <c r="A32" s="96"/>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4"/>
      <c r="BM32" s="94"/>
      <c r="BN32" s="94"/>
      <c r="BO32" s="94"/>
    </row>
    <row r="33" spans="1:67">
      <c r="A33" s="97"/>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4"/>
      <c r="BC33" s="94"/>
      <c r="BD33" s="94"/>
      <c r="BE33" s="94"/>
      <c r="BF33" s="94"/>
      <c r="BG33" s="94"/>
      <c r="BH33" s="94"/>
      <c r="BI33" s="94"/>
      <c r="BJ33" s="94"/>
      <c r="BK33" s="94"/>
      <c r="BL33" s="94"/>
      <c r="BM33" s="94"/>
      <c r="BN33" s="94"/>
      <c r="BO33" s="94"/>
    </row>
    <row r="34" spans="1:67">
      <c r="A34" s="97"/>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c r="BM34" s="94"/>
      <c r="BN34" s="94"/>
      <c r="BO34" s="94"/>
    </row>
    <row r="35" spans="1:67">
      <c r="A35" s="97"/>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c r="BM35" s="94"/>
      <c r="BN35" s="94"/>
      <c r="BO35" s="94"/>
    </row>
    <row r="36" spans="1:67">
      <c r="A36" s="97"/>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row>
    <row r="37" spans="1:67">
      <c r="A37" s="97"/>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94"/>
      <c r="BN37" s="94"/>
      <c r="BO37" s="94"/>
    </row>
    <row r="38" spans="1:67">
      <c r="A38" s="97"/>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row>
    <row r="39" spans="1:67">
      <c r="A39" s="97"/>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94"/>
      <c r="BK39" s="94"/>
      <c r="BL39" s="94"/>
      <c r="BM39" s="94"/>
      <c r="BN39" s="94"/>
      <c r="BO39" s="94"/>
    </row>
    <row r="40" spans="1:67">
      <c r="A40" s="96"/>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row>
    <row r="41" spans="1:67">
      <c r="A41" s="96"/>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row>
    <row r="42" spans="1:67">
      <c r="A42" s="96"/>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row>
    <row r="43" spans="1:67">
      <c r="A43" s="96"/>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row>
    <row r="44" spans="1:67">
      <c r="A44" s="96"/>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row>
    <row r="45" spans="1:67">
      <c r="A45" s="96"/>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row>
    <row r="46" spans="1:67">
      <c r="A46" s="96"/>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row>
    <row r="47" spans="1:67">
      <c r="A47" s="95"/>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94"/>
      <c r="BN47" s="94"/>
      <c r="BO47" s="94"/>
    </row>
    <row r="48" spans="1:67">
      <c r="A48" s="98"/>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row>
    <row r="49" spans="1:67">
      <c r="A49" s="9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c r="BJ49" s="94"/>
      <c r="BK49" s="94"/>
      <c r="BL49" s="94"/>
      <c r="BM49" s="94"/>
      <c r="BN49" s="94"/>
      <c r="BO49" s="94"/>
    </row>
    <row r="50" spans="1:67">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row>
  </sheetData>
  <phoneticPr fontId="8" type="noConversion"/>
  <conditionalFormatting sqref="A8:A47">
    <cfRule type="expression" dxfId="1" priority="2">
      <formula>"""living"""</formula>
    </cfRule>
  </conditionalFormatting>
  <conditionalFormatting sqref="E6:AC6">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2" r:id="rId4" name="Group Box 6">
              <controlPr defaultSize="0" autoFill="0" autoPict="0">
                <anchor moveWithCells="1">
                  <from>
                    <xdr:col>4</xdr:col>
                    <xdr:colOff>9525</xdr:colOff>
                    <xdr:row>26</xdr:row>
                    <xdr:rowOff>9525</xdr:rowOff>
                  </from>
                  <to>
                    <xdr:col>7</xdr:col>
                    <xdr:colOff>142875</xdr:colOff>
                    <xdr:row>30</xdr:row>
                    <xdr:rowOff>9525</xdr:rowOff>
                  </to>
                </anchor>
              </controlPr>
            </control>
          </mc:Choice>
        </mc:AlternateContent>
        <mc:AlternateContent xmlns:mc="http://schemas.openxmlformats.org/markup-compatibility/2006">
          <mc:Choice Requires="x14">
            <control shapeId="4104" r:id="rId5" name="Option Button 8">
              <controlPr defaultSize="0" autoFill="0" autoLine="0" autoPict="0">
                <anchor moveWithCells="1">
                  <from>
                    <xdr:col>4</xdr:col>
                    <xdr:colOff>190500</xdr:colOff>
                    <xdr:row>26</xdr:row>
                    <xdr:rowOff>238125</xdr:rowOff>
                  </from>
                  <to>
                    <xdr:col>7</xdr:col>
                    <xdr:colOff>0</xdr:colOff>
                    <xdr:row>28</xdr:row>
                    <xdr:rowOff>9525</xdr:rowOff>
                  </to>
                </anchor>
              </controlPr>
            </control>
          </mc:Choice>
        </mc:AlternateContent>
        <mc:AlternateContent xmlns:mc="http://schemas.openxmlformats.org/markup-compatibility/2006">
          <mc:Choice Requires="x14">
            <control shapeId="4105" r:id="rId6" name="Option Button 9">
              <controlPr defaultSize="0" autoFill="0" autoLine="0" autoPict="0">
                <anchor moveWithCells="1">
                  <from>
                    <xdr:col>4</xdr:col>
                    <xdr:colOff>190500</xdr:colOff>
                    <xdr:row>27</xdr:row>
                    <xdr:rowOff>200025</xdr:rowOff>
                  </from>
                  <to>
                    <xdr:col>7</xdr:col>
                    <xdr:colOff>0</xdr:colOff>
                    <xdr:row>28</xdr:row>
                    <xdr:rowOff>276225</xdr:rowOff>
                  </to>
                </anchor>
              </controlPr>
            </control>
          </mc:Choice>
        </mc:AlternateContent>
        <mc:AlternateContent xmlns:mc="http://schemas.openxmlformats.org/markup-compatibility/2006">
          <mc:Choice Requires="x14">
            <control shapeId="4106" r:id="rId7" name="Option Button 10">
              <controlPr defaultSize="0" autoFill="0" autoLine="0" autoPict="0">
                <anchor moveWithCells="1">
                  <from>
                    <xdr:col>4</xdr:col>
                    <xdr:colOff>190500</xdr:colOff>
                    <xdr:row>28</xdr:row>
                    <xdr:rowOff>200025</xdr:rowOff>
                  </from>
                  <to>
                    <xdr:col>7</xdr:col>
                    <xdr:colOff>0</xdr:colOff>
                    <xdr:row>29</xdr:row>
                    <xdr:rowOff>276225</xdr:rowOff>
                  </to>
                </anchor>
              </controlPr>
            </control>
          </mc:Choice>
        </mc:AlternateContent>
        <mc:AlternateContent xmlns:mc="http://schemas.openxmlformats.org/markup-compatibility/2006">
          <mc:Choice Requires="x14">
            <control shapeId="4109" r:id="rId8" name="Group Box 13">
              <controlPr defaultSize="0" autoFill="0" autoPict="0">
                <anchor moveWithCells="1">
                  <from>
                    <xdr:col>10</xdr:col>
                    <xdr:colOff>114300</xdr:colOff>
                    <xdr:row>26</xdr:row>
                    <xdr:rowOff>0</xdr:rowOff>
                  </from>
                  <to>
                    <xdr:col>13</xdr:col>
                    <xdr:colOff>228600</xdr:colOff>
                    <xdr:row>30</xdr:row>
                    <xdr:rowOff>66675</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10</xdr:col>
                    <xdr:colOff>266700</xdr:colOff>
                    <xdr:row>26</xdr:row>
                    <xdr:rowOff>228600</xdr:rowOff>
                  </from>
                  <to>
                    <xdr:col>13</xdr:col>
                    <xdr:colOff>76200</xdr:colOff>
                    <xdr:row>28</xdr:row>
                    <xdr:rowOff>0</xdr:rowOff>
                  </to>
                </anchor>
              </controlPr>
            </control>
          </mc:Choice>
        </mc:AlternateContent>
        <mc:AlternateContent xmlns:mc="http://schemas.openxmlformats.org/markup-compatibility/2006">
          <mc:Choice Requires="x14">
            <control shapeId="4111" r:id="rId10" name="Option Button 15">
              <controlPr defaultSize="0" autoFill="0" autoLine="0" autoPict="0">
                <anchor moveWithCells="1">
                  <from>
                    <xdr:col>10</xdr:col>
                    <xdr:colOff>266700</xdr:colOff>
                    <xdr:row>27</xdr:row>
                    <xdr:rowOff>228600</xdr:rowOff>
                  </from>
                  <to>
                    <xdr:col>13</xdr:col>
                    <xdr:colOff>76200</xdr:colOff>
                    <xdr:row>29</xdr:row>
                    <xdr:rowOff>0</xdr:rowOff>
                  </to>
                </anchor>
              </controlPr>
            </control>
          </mc:Choice>
        </mc:AlternateContent>
        <mc:AlternateContent xmlns:mc="http://schemas.openxmlformats.org/markup-compatibility/2006">
          <mc:Choice Requires="x14">
            <control shapeId="4112" r:id="rId11" name="Option Button 16">
              <controlPr defaultSize="0" autoFill="0" autoLine="0" autoPict="0">
                <anchor moveWithCells="1">
                  <from>
                    <xdr:col>10</xdr:col>
                    <xdr:colOff>266700</xdr:colOff>
                    <xdr:row>28</xdr:row>
                    <xdr:rowOff>228600</xdr:rowOff>
                  </from>
                  <to>
                    <xdr:col>13</xdr:col>
                    <xdr:colOff>76200</xdr:colOff>
                    <xdr:row>30</xdr:row>
                    <xdr:rowOff>0</xdr:rowOff>
                  </to>
                </anchor>
              </controlPr>
            </control>
          </mc:Choice>
        </mc:AlternateContent>
        <mc:AlternateContent xmlns:mc="http://schemas.openxmlformats.org/markup-compatibility/2006">
          <mc:Choice Requires="x14">
            <control shapeId="4113" r:id="rId12" name="Group Box 17">
              <controlPr defaultSize="0" autoFill="0" autoPict="0">
                <anchor moveWithCells="1">
                  <from>
                    <xdr:col>15</xdr:col>
                    <xdr:colOff>66675</xdr:colOff>
                    <xdr:row>26</xdr:row>
                    <xdr:rowOff>9525</xdr:rowOff>
                  </from>
                  <to>
                    <xdr:col>18</xdr:col>
                    <xdr:colOff>180975</xdr:colOff>
                    <xdr:row>30</xdr:row>
                    <xdr:rowOff>76200</xdr:rowOff>
                  </to>
                </anchor>
              </controlPr>
            </control>
          </mc:Choice>
        </mc:AlternateContent>
        <mc:AlternateContent xmlns:mc="http://schemas.openxmlformats.org/markup-compatibility/2006">
          <mc:Choice Requires="x14">
            <control shapeId="4114" r:id="rId13" name="Option Button 18">
              <controlPr defaultSize="0" autoFill="0" autoLine="0" autoPict="0">
                <anchor moveWithCells="1">
                  <from>
                    <xdr:col>15</xdr:col>
                    <xdr:colOff>190500</xdr:colOff>
                    <xdr:row>26</xdr:row>
                    <xdr:rowOff>238125</xdr:rowOff>
                  </from>
                  <to>
                    <xdr:col>18</xdr:col>
                    <xdr:colOff>0</xdr:colOff>
                    <xdr:row>28</xdr:row>
                    <xdr:rowOff>9525</xdr:rowOff>
                  </to>
                </anchor>
              </controlPr>
            </control>
          </mc:Choice>
        </mc:AlternateContent>
        <mc:AlternateContent xmlns:mc="http://schemas.openxmlformats.org/markup-compatibility/2006">
          <mc:Choice Requires="x14">
            <control shapeId="4115" r:id="rId14" name="Option Button 19">
              <controlPr defaultSize="0" autoFill="0" autoLine="0" autoPict="0">
                <anchor moveWithCells="1">
                  <from>
                    <xdr:col>15</xdr:col>
                    <xdr:colOff>190500</xdr:colOff>
                    <xdr:row>27</xdr:row>
                    <xdr:rowOff>200025</xdr:rowOff>
                  </from>
                  <to>
                    <xdr:col>18</xdr:col>
                    <xdr:colOff>0</xdr:colOff>
                    <xdr:row>28</xdr:row>
                    <xdr:rowOff>276225</xdr:rowOff>
                  </to>
                </anchor>
              </controlPr>
            </control>
          </mc:Choice>
        </mc:AlternateContent>
        <mc:AlternateContent xmlns:mc="http://schemas.openxmlformats.org/markup-compatibility/2006">
          <mc:Choice Requires="x14">
            <control shapeId="4116" r:id="rId15" name="Option Button 20">
              <controlPr defaultSize="0" autoFill="0" autoLine="0" autoPict="0">
                <anchor moveWithCells="1">
                  <from>
                    <xdr:col>15</xdr:col>
                    <xdr:colOff>190500</xdr:colOff>
                    <xdr:row>28</xdr:row>
                    <xdr:rowOff>219075</xdr:rowOff>
                  </from>
                  <to>
                    <xdr:col>18</xdr:col>
                    <xdr:colOff>0</xdr:colOff>
                    <xdr:row>29</xdr:row>
                    <xdr:rowOff>295275</xdr:rowOff>
                  </to>
                </anchor>
              </controlPr>
            </control>
          </mc:Choice>
        </mc:AlternateContent>
        <mc:AlternateContent xmlns:mc="http://schemas.openxmlformats.org/markup-compatibility/2006">
          <mc:Choice Requires="x14">
            <control shapeId="4117" r:id="rId16" name="Group Box 21">
              <controlPr defaultSize="0" autoFill="0" autoPict="0">
                <anchor moveWithCells="1">
                  <from>
                    <xdr:col>22</xdr:col>
                    <xdr:colOff>9525</xdr:colOff>
                    <xdr:row>26</xdr:row>
                    <xdr:rowOff>76200</xdr:rowOff>
                  </from>
                  <to>
                    <xdr:col>25</xdr:col>
                    <xdr:colOff>123825</xdr:colOff>
                    <xdr:row>30</xdr:row>
                    <xdr:rowOff>142875</xdr:rowOff>
                  </to>
                </anchor>
              </controlPr>
            </control>
          </mc:Choice>
        </mc:AlternateContent>
        <mc:AlternateContent xmlns:mc="http://schemas.openxmlformats.org/markup-compatibility/2006">
          <mc:Choice Requires="x14">
            <control shapeId="4118" r:id="rId17" name="Option Button 22">
              <controlPr defaultSize="0" autoFill="0" autoLine="0" autoPict="0">
                <anchor moveWithCells="1">
                  <from>
                    <xdr:col>22</xdr:col>
                    <xdr:colOff>180975</xdr:colOff>
                    <xdr:row>26</xdr:row>
                    <xdr:rowOff>200025</xdr:rowOff>
                  </from>
                  <to>
                    <xdr:col>24</xdr:col>
                    <xdr:colOff>561975</xdr:colOff>
                    <xdr:row>27</xdr:row>
                    <xdr:rowOff>276225</xdr:rowOff>
                  </to>
                </anchor>
              </controlPr>
            </control>
          </mc:Choice>
        </mc:AlternateContent>
        <mc:AlternateContent xmlns:mc="http://schemas.openxmlformats.org/markup-compatibility/2006">
          <mc:Choice Requires="x14">
            <control shapeId="4119" r:id="rId18" name="Option Button 23">
              <controlPr defaultSize="0" autoFill="0" autoLine="0" autoPict="0">
                <anchor moveWithCells="1">
                  <from>
                    <xdr:col>22</xdr:col>
                    <xdr:colOff>180975</xdr:colOff>
                    <xdr:row>27</xdr:row>
                    <xdr:rowOff>200025</xdr:rowOff>
                  </from>
                  <to>
                    <xdr:col>24</xdr:col>
                    <xdr:colOff>561975</xdr:colOff>
                    <xdr:row>28</xdr:row>
                    <xdr:rowOff>276225</xdr:rowOff>
                  </to>
                </anchor>
              </controlPr>
            </control>
          </mc:Choice>
        </mc:AlternateContent>
        <mc:AlternateContent xmlns:mc="http://schemas.openxmlformats.org/markup-compatibility/2006">
          <mc:Choice Requires="x14">
            <control shapeId="4120" r:id="rId19" name="Option Button 24">
              <controlPr defaultSize="0" autoFill="0" autoLine="0" autoPict="0">
                <anchor moveWithCells="1">
                  <from>
                    <xdr:col>22</xdr:col>
                    <xdr:colOff>180975</xdr:colOff>
                    <xdr:row>28</xdr:row>
                    <xdr:rowOff>219075</xdr:rowOff>
                  </from>
                  <to>
                    <xdr:col>24</xdr:col>
                    <xdr:colOff>561975</xdr:colOff>
                    <xdr:row>29</xdr:row>
                    <xdr:rowOff>295275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E48B1-8ABD-8343-BB99-8DD7DAD47B90}">
  <dimension ref="A1:BO42"/>
  <sheetViews>
    <sheetView zoomScale="121" zoomScaleNormal="124" workbookViewId="0">
      <selection activeCell="D31" sqref="D31"/>
    </sheetView>
  </sheetViews>
  <sheetFormatPr baseColWidth="10" defaultRowHeight="15.75"/>
  <cols>
    <col min="1" max="1" width="12.625" customWidth="1"/>
    <col min="2" max="2" width="67.125" customWidth="1"/>
    <col min="4" max="4" width="25.5" customWidth="1"/>
    <col min="5" max="5" width="6" customWidth="1"/>
    <col min="6" max="6" width="12.875" customWidth="1"/>
    <col min="7" max="29" width="6" customWidth="1"/>
    <col min="30" max="30" width="14" customWidth="1"/>
    <col min="31" max="31" width="11.375" bestFit="1" customWidth="1"/>
  </cols>
  <sheetData>
    <row r="1" spans="1:45" s="67" customFormat="1" ht="33.950000000000003" customHeight="1">
      <c r="A1" s="117" t="s">
        <v>228</v>
      </c>
    </row>
    <row r="2" spans="1:45" s="67" customFormat="1">
      <c r="A2" s="67" t="s">
        <v>122</v>
      </c>
    </row>
    <row r="3" spans="1:45" s="67" customFormat="1">
      <c r="A3" s="67" t="s">
        <v>128</v>
      </c>
    </row>
    <row r="4" spans="1:45">
      <c r="A4" s="103"/>
      <c r="B4" s="103"/>
      <c r="C4" s="103"/>
      <c r="D4" s="104"/>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3"/>
      <c r="AE4" s="103"/>
      <c r="AF4" s="103"/>
      <c r="AG4" s="103"/>
      <c r="AH4" s="103"/>
      <c r="AI4" s="103"/>
      <c r="AJ4" s="103"/>
      <c r="AK4" s="103"/>
      <c r="AL4" s="103"/>
      <c r="AM4" s="103"/>
      <c r="AN4" s="103"/>
      <c r="AO4" s="103"/>
      <c r="AP4" s="103"/>
      <c r="AQ4" s="103"/>
      <c r="AR4" s="103"/>
      <c r="AS4" s="103"/>
    </row>
    <row r="5" spans="1:45">
      <c r="A5" s="103"/>
      <c r="B5" s="103"/>
      <c r="C5" s="103"/>
      <c r="D5" s="104"/>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3"/>
      <c r="AE5" s="103"/>
      <c r="AF5" s="103"/>
      <c r="AG5" s="103"/>
      <c r="AH5" s="103"/>
      <c r="AI5" s="103"/>
      <c r="AJ5" s="103"/>
      <c r="AK5" s="103"/>
      <c r="AL5" s="103"/>
      <c r="AM5" s="103"/>
      <c r="AN5" s="103"/>
      <c r="AO5" s="103"/>
      <c r="AP5" s="103"/>
      <c r="AQ5" s="103"/>
      <c r="AR5" s="103"/>
      <c r="AS5" s="103"/>
    </row>
    <row r="6" spans="1:45" ht="16.5" thickBot="1">
      <c r="A6" s="103"/>
      <c r="B6" s="103"/>
      <c r="C6" s="103"/>
      <c r="D6" s="103"/>
      <c r="E6" s="103"/>
      <c r="F6" s="107"/>
      <c r="G6" s="103"/>
      <c r="H6" s="103"/>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row>
    <row r="7" spans="1:45" ht="16.5" thickBot="1">
      <c r="A7" s="108"/>
      <c r="B7" s="104" t="s">
        <v>123</v>
      </c>
      <c r="C7" s="109">
        <v>2</v>
      </c>
      <c r="D7" s="110"/>
      <c r="E7" s="103"/>
      <c r="F7" s="111" t="b">
        <v>0</v>
      </c>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row>
    <row r="8" spans="1:45" ht="16.5" thickBot="1">
      <c r="A8" s="108"/>
      <c r="B8" s="104" t="s">
        <v>125</v>
      </c>
      <c r="C8" s="112">
        <f>C7*3</f>
        <v>6</v>
      </c>
      <c r="D8" s="110" t="s">
        <v>124</v>
      </c>
      <c r="E8" s="113"/>
      <c r="F8" s="113"/>
      <c r="G8" s="113"/>
      <c r="H8" s="113"/>
      <c r="I8" s="113"/>
      <c r="J8" s="113"/>
      <c r="K8" s="113"/>
      <c r="L8" s="113"/>
      <c r="M8" s="113"/>
      <c r="N8" s="113"/>
      <c r="O8" s="113"/>
      <c r="P8" s="113"/>
      <c r="Q8" s="113"/>
      <c r="R8" s="113"/>
      <c r="S8" s="113"/>
      <c r="T8" s="113"/>
      <c r="U8" s="113"/>
      <c r="V8" s="113"/>
      <c r="W8" s="113"/>
      <c r="X8" s="113"/>
      <c r="Y8" s="113"/>
      <c r="Z8" s="113"/>
      <c r="AA8" s="113"/>
      <c r="AB8" s="113"/>
      <c r="AC8" s="103"/>
      <c r="AD8" s="103"/>
      <c r="AE8" s="103"/>
      <c r="AF8" s="103"/>
      <c r="AG8" s="103"/>
      <c r="AH8" s="103"/>
      <c r="AI8" s="103"/>
      <c r="AJ8" s="103"/>
      <c r="AK8" s="103"/>
      <c r="AL8" s="103"/>
      <c r="AM8" s="103"/>
      <c r="AN8" s="103"/>
      <c r="AO8" s="103"/>
      <c r="AP8" s="103"/>
      <c r="AQ8" s="103"/>
      <c r="AR8" s="103"/>
      <c r="AS8" s="103"/>
    </row>
    <row r="9" spans="1:45">
      <c r="A9" s="108"/>
      <c r="B9" s="113"/>
      <c r="D9" s="110"/>
      <c r="E9" s="113"/>
      <c r="F9" s="113"/>
      <c r="G9" s="113"/>
      <c r="H9" s="113"/>
      <c r="I9" s="113"/>
      <c r="J9" s="113"/>
      <c r="K9" s="113"/>
      <c r="L9" s="113"/>
      <c r="M9" s="113"/>
      <c r="N9" s="113"/>
      <c r="O9" s="113"/>
      <c r="P9" s="113"/>
      <c r="Q9" s="113"/>
      <c r="R9" s="113"/>
      <c r="S9" s="113"/>
      <c r="T9" s="113"/>
      <c r="U9" s="113"/>
      <c r="V9" s="113"/>
      <c r="W9" s="113"/>
      <c r="X9" s="113"/>
      <c r="Y9" s="113"/>
      <c r="Z9" s="113"/>
      <c r="AA9" s="114"/>
      <c r="AB9" s="113"/>
      <c r="AC9" s="103"/>
      <c r="AD9" s="103"/>
      <c r="AE9" s="103"/>
      <c r="AF9" s="103"/>
      <c r="AG9" s="103"/>
      <c r="AH9" s="103"/>
      <c r="AI9" s="103"/>
      <c r="AJ9" s="103"/>
      <c r="AK9" s="103"/>
      <c r="AL9" s="103"/>
      <c r="AM9" s="103"/>
      <c r="AN9" s="103"/>
      <c r="AO9" s="103"/>
      <c r="AP9" s="103"/>
      <c r="AQ9" s="103"/>
      <c r="AR9" s="103"/>
      <c r="AS9" s="103"/>
    </row>
    <row r="10" spans="1:45">
      <c r="A10" s="115"/>
      <c r="B10" s="103"/>
      <c r="C10" s="103"/>
      <c r="D10" s="103"/>
      <c r="E10" s="113"/>
      <c r="F10" s="113"/>
      <c r="G10" s="113"/>
      <c r="H10" s="113"/>
      <c r="I10" s="113"/>
      <c r="J10" s="113"/>
      <c r="K10" s="113"/>
      <c r="L10" s="113"/>
      <c r="M10" s="113"/>
      <c r="N10" s="113"/>
      <c r="O10" s="113"/>
      <c r="P10" s="113"/>
      <c r="Q10" s="113"/>
      <c r="R10" s="113"/>
      <c r="S10" s="113"/>
      <c r="T10" s="113"/>
      <c r="U10" s="113"/>
      <c r="V10" s="113"/>
      <c r="W10" s="113"/>
      <c r="X10" s="113"/>
      <c r="Y10" s="113"/>
      <c r="Z10" s="113"/>
      <c r="AA10" s="114"/>
      <c r="AB10" s="113"/>
      <c r="AC10" s="103"/>
      <c r="AD10" s="103"/>
      <c r="AE10" s="103"/>
      <c r="AF10" s="103"/>
      <c r="AG10" s="103"/>
      <c r="AH10" s="103"/>
      <c r="AI10" s="103"/>
      <c r="AJ10" s="103"/>
      <c r="AK10" s="103"/>
      <c r="AL10" s="103"/>
      <c r="AM10" s="103"/>
      <c r="AN10" s="103"/>
      <c r="AO10" s="103"/>
      <c r="AP10" s="103"/>
      <c r="AQ10" s="103"/>
      <c r="AR10" s="103"/>
      <c r="AS10" s="103"/>
    </row>
    <row r="11" spans="1:45">
      <c r="A11" s="115"/>
      <c r="B11" s="103"/>
      <c r="C11" s="103" t="b">
        <v>0</v>
      </c>
      <c r="D11" s="10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03"/>
      <c r="AD11" s="103"/>
      <c r="AE11" s="103"/>
      <c r="AF11" s="103"/>
      <c r="AG11" s="103"/>
      <c r="AH11" s="103"/>
      <c r="AI11" s="103"/>
      <c r="AJ11" s="103"/>
      <c r="AK11" s="103"/>
      <c r="AL11" s="103"/>
      <c r="AM11" s="103"/>
      <c r="AN11" s="103"/>
      <c r="AO11" s="103"/>
      <c r="AP11" s="103"/>
      <c r="AQ11" s="103"/>
      <c r="AR11" s="103"/>
      <c r="AS11" s="103"/>
    </row>
    <row r="12" spans="1:45">
      <c r="A12" s="115"/>
      <c r="B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row>
    <row r="13" spans="1:45">
      <c r="A13" s="115"/>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row>
    <row r="14" spans="1:45">
      <c r="A14" s="115"/>
      <c r="B14" s="103"/>
      <c r="C14" s="103"/>
      <c r="D14" s="103"/>
      <c r="E14" s="103"/>
      <c r="F14" s="103"/>
      <c r="G14" s="103"/>
      <c r="H14" s="103"/>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row>
    <row r="15" spans="1:45">
      <c r="A15" s="115"/>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row>
    <row r="16" spans="1:45">
      <c r="A16" s="115"/>
      <c r="B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row>
    <row r="17" spans="1:67">
      <c r="A17" s="115"/>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row>
    <row r="18" spans="1:67" ht="16.5" thickBot="1">
      <c r="A18" s="115"/>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row>
    <row r="19" spans="1:67" ht="16.5" thickBot="1">
      <c r="A19" s="115"/>
      <c r="B19" s="103"/>
      <c r="C19" s="109">
        <v>5</v>
      </c>
      <c r="D19" s="110" t="s">
        <v>124</v>
      </c>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row>
    <row r="20" spans="1:67">
      <c r="A20" s="115"/>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row>
    <row r="21" spans="1:67">
      <c r="A21" s="115"/>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row>
    <row r="22" spans="1:67">
      <c r="A22" s="116"/>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row>
    <row r="23" spans="1:67">
      <c r="A23" s="116"/>
      <c r="B23" s="103"/>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row>
    <row r="24" spans="1:67">
      <c r="A24" s="116"/>
      <c r="B24" s="103"/>
      <c r="C24" s="103"/>
      <c r="D24" s="103"/>
      <c r="E24" s="103"/>
      <c r="F24" s="103"/>
      <c r="G24" s="103"/>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row>
    <row r="25" spans="1:67">
      <c r="A25" s="107"/>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row>
    <row r="26" spans="1:67">
      <c r="A26" s="107"/>
      <c r="B26" s="103"/>
      <c r="C26" s="103"/>
      <c r="D26" s="103"/>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row>
    <row r="27" spans="1:67">
      <c r="A27" s="107"/>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row>
    <row r="28" spans="1:67">
      <c r="A28" s="107"/>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row>
    <row r="29" spans="1:67">
      <c r="A29" s="107"/>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c r="BM29" s="103"/>
      <c r="BN29" s="103"/>
      <c r="BO29" s="103"/>
    </row>
    <row r="30" spans="1:67">
      <c r="A30" s="107"/>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row>
    <row r="31" spans="1:67">
      <c r="A31" s="107"/>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3"/>
      <c r="BM31" s="103"/>
      <c r="BN31" s="103"/>
      <c r="BO31" s="103"/>
    </row>
    <row r="32" spans="1:67">
      <c r="A32" s="116"/>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row>
    <row r="33" spans="1:67">
      <c r="A33" s="116"/>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row>
    <row r="34" spans="1:67">
      <c r="A34" s="116"/>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row>
    <row r="35" spans="1:67">
      <c r="A35" s="116"/>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c r="BF35" s="103"/>
      <c r="BG35" s="103"/>
      <c r="BH35" s="103"/>
      <c r="BI35" s="103"/>
      <c r="BJ35" s="103"/>
      <c r="BK35" s="103"/>
      <c r="BL35" s="103"/>
      <c r="BM35" s="103"/>
      <c r="BN35" s="103"/>
      <c r="BO35" s="103"/>
    </row>
    <row r="36" spans="1:67">
      <c r="A36" s="116"/>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c r="AK36" s="103"/>
      <c r="AL36" s="103"/>
      <c r="AM36" s="103"/>
      <c r="AN36" s="103"/>
      <c r="AO36" s="103"/>
      <c r="AP36" s="103"/>
      <c r="AQ36" s="103"/>
      <c r="AR36" s="103"/>
      <c r="AS36" s="103"/>
      <c r="AT36" s="103"/>
      <c r="AU36" s="103"/>
      <c r="AV36" s="103"/>
      <c r="AW36" s="103"/>
      <c r="AX36" s="103"/>
      <c r="AY36" s="103"/>
      <c r="AZ36" s="103"/>
      <c r="BA36" s="103"/>
      <c r="BB36" s="103"/>
      <c r="BC36" s="103"/>
      <c r="BD36" s="103"/>
      <c r="BE36" s="103"/>
      <c r="BF36" s="103"/>
      <c r="BG36" s="103"/>
      <c r="BH36" s="103"/>
      <c r="BI36" s="103"/>
      <c r="BJ36" s="103"/>
      <c r="BK36" s="103"/>
      <c r="BL36" s="103"/>
      <c r="BM36" s="103"/>
      <c r="BN36" s="103"/>
      <c r="BO36" s="103"/>
    </row>
    <row r="37" spans="1:67">
      <c r="A37" s="116"/>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3"/>
      <c r="AN37" s="103"/>
      <c r="AO37" s="103"/>
      <c r="AP37" s="103"/>
      <c r="AQ37" s="103"/>
      <c r="AR37" s="103"/>
      <c r="AS37" s="103"/>
      <c r="AT37" s="103"/>
      <c r="AU37" s="103"/>
      <c r="AV37" s="103"/>
      <c r="AW37" s="103"/>
      <c r="AX37" s="103"/>
      <c r="AY37" s="103"/>
      <c r="AZ37" s="103"/>
      <c r="BA37" s="103"/>
      <c r="BB37" s="103"/>
      <c r="BC37" s="103"/>
      <c r="BD37" s="103"/>
      <c r="BE37" s="103"/>
      <c r="BF37" s="103"/>
      <c r="BG37" s="103"/>
      <c r="BH37" s="103"/>
      <c r="BI37" s="103"/>
      <c r="BJ37" s="103"/>
      <c r="BK37" s="103"/>
      <c r="BL37" s="103"/>
      <c r="BM37" s="103"/>
      <c r="BN37" s="103"/>
      <c r="BO37" s="103"/>
    </row>
    <row r="38" spans="1:67">
      <c r="A38" s="116"/>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03"/>
      <c r="BF38" s="103"/>
      <c r="BG38" s="103"/>
      <c r="BH38" s="103"/>
      <c r="BI38" s="103"/>
      <c r="BJ38" s="103"/>
      <c r="BK38" s="103"/>
      <c r="BL38" s="103"/>
      <c r="BM38" s="103"/>
      <c r="BN38" s="103"/>
      <c r="BO38" s="103"/>
    </row>
    <row r="39" spans="1:67">
      <c r="A39" s="115"/>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3"/>
      <c r="BM39" s="103"/>
      <c r="BN39" s="103"/>
      <c r="BO39" s="103"/>
    </row>
    <row r="40" spans="1:67">
      <c r="A40" s="105"/>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c r="BM40" s="103"/>
      <c r="BN40" s="103"/>
      <c r="BO40" s="103"/>
    </row>
    <row r="41" spans="1:67">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3"/>
      <c r="BB41" s="103"/>
      <c r="BC41" s="103"/>
      <c r="BD41" s="103"/>
      <c r="BE41" s="103"/>
      <c r="BF41" s="103"/>
      <c r="BG41" s="103"/>
      <c r="BH41" s="103"/>
      <c r="BI41" s="103"/>
      <c r="BJ41" s="103"/>
      <c r="BK41" s="103"/>
      <c r="BL41" s="103"/>
      <c r="BM41" s="103"/>
      <c r="BN41" s="103"/>
      <c r="BO41" s="103"/>
    </row>
    <row r="42" spans="1:67">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row>
  </sheetData>
  <conditionalFormatting sqref="A7:A39">
    <cfRule type="expression" dxfId="0" priority="2">
      <formula>"""living"""</formula>
    </cfRule>
  </conditionalFormatting>
  <conditionalFormatting sqref="E5:AC5">
    <cfRule type="colorScale" priority="1">
      <colorScale>
        <cfvo type="min"/>
        <cfvo type="percentile" val="50"/>
        <cfvo type="max"/>
        <color rgb="FF63BE7B"/>
        <color rgb="FFFFEB84"/>
        <color rgb="FFF8696B"/>
      </colorScale>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37" r:id="rId3" name="Check Box 17">
              <controlPr defaultSize="0" autoFill="0" autoLine="0" autoPict="0">
                <anchor moveWithCells="1">
                  <from>
                    <xdr:col>3</xdr:col>
                    <xdr:colOff>838200</xdr:colOff>
                    <xdr:row>10</xdr:row>
                    <xdr:rowOff>161925</xdr:rowOff>
                  </from>
                  <to>
                    <xdr:col>6</xdr:col>
                    <xdr:colOff>66675</xdr:colOff>
                    <xdr:row>12</xdr:row>
                    <xdr:rowOff>123825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FF1E-BAAB-E447-A99D-2CD72BD2C762}">
  <dimension ref="A1:AU85"/>
  <sheetViews>
    <sheetView zoomScale="67" zoomScaleNormal="70" workbookViewId="0">
      <selection activeCell="C30" sqref="C30:C31"/>
    </sheetView>
  </sheetViews>
  <sheetFormatPr baseColWidth="10" defaultColWidth="10.875" defaultRowHeight="26.25"/>
  <cols>
    <col min="1" max="1" width="149.375" style="2" customWidth="1"/>
    <col min="2" max="2" width="10.875" style="6"/>
    <col min="3" max="3" width="61" style="6" customWidth="1"/>
    <col min="4" max="5" width="28.875" style="6" customWidth="1"/>
    <col min="6" max="7" width="10.875" style="6"/>
    <col min="8" max="8" width="39.875" style="6" customWidth="1"/>
    <col min="9" max="9" width="10.875" style="6" customWidth="1"/>
    <col min="10" max="11" width="20.125" style="6" customWidth="1"/>
    <col min="12" max="12" width="15.125" style="6" customWidth="1"/>
    <col min="13" max="13" width="12.875" style="6" customWidth="1"/>
    <col min="14" max="16384" width="10.875" style="6"/>
  </cols>
  <sheetData>
    <row r="1" spans="1:22" s="1" customFormat="1" ht="61.5">
      <c r="A1" s="119" t="s">
        <v>229</v>
      </c>
    </row>
    <row r="2" spans="1:22" s="91" customFormat="1" ht="31.5">
      <c r="A2" s="91" t="s">
        <v>57</v>
      </c>
    </row>
    <row r="3" spans="1:22" s="91" customFormat="1" ht="31.5">
      <c r="A3" s="91" t="s">
        <v>142</v>
      </c>
    </row>
    <row r="4" spans="1:22" s="2" customFormat="1"/>
    <row r="5" spans="1:22" s="2" customFormat="1"/>
    <row r="6" spans="1:22" s="2" customFormat="1"/>
    <row r="7" spans="1:22" s="2" customFormat="1"/>
    <row r="8" spans="1:22">
      <c r="B8" s="2"/>
      <c r="C8" s="5"/>
      <c r="D8" s="2"/>
      <c r="E8" s="2"/>
      <c r="F8" s="2"/>
      <c r="G8" s="2"/>
      <c r="H8" s="2"/>
      <c r="I8" s="2"/>
      <c r="J8" s="2"/>
      <c r="K8" s="2"/>
      <c r="L8" s="2"/>
      <c r="M8" s="2"/>
      <c r="N8" s="2"/>
      <c r="O8" s="2"/>
      <c r="P8" s="2"/>
      <c r="Q8" s="2"/>
      <c r="R8" s="2"/>
      <c r="S8" s="2"/>
      <c r="T8" s="2"/>
      <c r="U8" s="2"/>
      <c r="V8" s="2"/>
    </row>
    <row r="9" spans="1:22" ht="27" thickBot="1">
      <c r="A9" s="7" t="s">
        <v>0</v>
      </c>
      <c r="B9" s="8" t="s">
        <v>1</v>
      </c>
      <c r="C9" s="9" t="s">
        <v>2</v>
      </c>
      <c r="D9" s="9"/>
      <c r="E9" s="9"/>
      <c r="F9" s="1"/>
      <c r="G9" s="1"/>
      <c r="H9" s="9" t="s">
        <v>63</v>
      </c>
      <c r="I9" s="9"/>
      <c r="J9" s="9"/>
      <c r="K9" s="9"/>
      <c r="L9" s="2"/>
      <c r="M9" s="2"/>
      <c r="N9" s="2"/>
      <c r="O9" s="2"/>
      <c r="P9" s="2"/>
      <c r="Q9" s="2"/>
      <c r="R9" s="2"/>
      <c r="S9" s="2"/>
      <c r="T9" s="2"/>
      <c r="U9" s="2"/>
      <c r="V9" s="2"/>
    </row>
    <row r="10" spans="1:22" ht="27" thickBot="1">
      <c r="A10" s="274" t="s">
        <v>61</v>
      </c>
      <c r="B10" s="10" cm="1">
        <f t="array" ref="B10:B35">_xlfn.SEQUENCE(26,1)</f>
        <v>1</v>
      </c>
      <c r="C10" s="277" t="s">
        <v>3</v>
      </c>
      <c r="D10" s="83">
        <v>15000</v>
      </c>
      <c r="E10" s="2" t="s">
        <v>4</v>
      </c>
      <c r="F10" s="2"/>
      <c r="G10" s="2"/>
      <c r="H10" s="2" t="s">
        <v>60</v>
      </c>
      <c r="I10" s="2"/>
      <c r="J10" s="15"/>
      <c r="K10" s="2"/>
      <c r="L10" s="2"/>
      <c r="M10" s="2"/>
      <c r="N10" s="2"/>
      <c r="O10" s="2"/>
      <c r="P10" s="2"/>
      <c r="Q10" s="2"/>
      <c r="R10" s="2"/>
      <c r="S10" s="2"/>
      <c r="T10" s="2"/>
      <c r="U10" s="2"/>
      <c r="V10" s="2"/>
    </row>
    <row r="11" spans="1:22" ht="27.75" thickTop="1" thickBot="1">
      <c r="A11" s="274" t="s">
        <v>126</v>
      </c>
      <c r="B11" s="10">
        <v>2</v>
      </c>
      <c r="C11" s="277" t="s">
        <v>150</v>
      </c>
      <c r="D11" s="82">
        <f>IF('2. HOT WATER'!$C$11=TRUE,'2. HOT WATER'!$C$19,'2. HOT WATER'!$C$8)</f>
        <v>6</v>
      </c>
      <c r="E11" s="2" t="s">
        <v>28</v>
      </c>
      <c r="F11" s="2"/>
      <c r="G11" s="2"/>
      <c r="I11" s="28" t="s">
        <v>65</v>
      </c>
      <c r="J11" s="278" t="s">
        <v>66</v>
      </c>
      <c r="K11" s="279"/>
      <c r="L11" s="28"/>
      <c r="N11" s="2"/>
      <c r="O11" s="2"/>
      <c r="P11" s="2"/>
      <c r="Q11" s="2"/>
      <c r="R11" s="2"/>
      <c r="S11" s="2"/>
      <c r="T11" s="2"/>
      <c r="U11" s="2"/>
      <c r="V11" s="2"/>
    </row>
    <row r="12" spans="1:22" ht="27.75" thickTop="1" thickBot="1">
      <c r="A12" s="274" t="s">
        <v>260</v>
      </c>
      <c r="B12" s="10">
        <v>3</v>
      </c>
      <c r="C12" s="277" t="s">
        <v>6</v>
      </c>
      <c r="D12" s="84">
        <v>0.85</v>
      </c>
      <c r="E12" s="2"/>
      <c r="F12" s="2"/>
      <c r="G12" s="2"/>
      <c r="H12" s="27" t="s">
        <v>8</v>
      </c>
      <c r="I12" s="82">
        <f>D13</f>
        <v>19.791666666666668</v>
      </c>
      <c r="J12" s="27">
        <v>20</v>
      </c>
      <c r="K12" s="27" t="s">
        <v>59</v>
      </c>
      <c r="L12" s="2"/>
      <c r="M12" s="2"/>
      <c r="N12" s="2"/>
      <c r="O12" s="2"/>
      <c r="P12" s="2"/>
      <c r="Q12" s="2"/>
      <c r="R12" s="2"/>
      <c r="S12" s="2"/>
      <c r="T12" s="2"/>
      <c r="U12" s="2"/>
    </row>
    <row r="13" spans="1:22" ht="27" thickBot="1">
      <c r="A13" s="274" t="s">
        <v>130</v>
      </c>
      <c r="B13" s="10">
        <v>4</v>
      </c>
      <c r="C13" s="277" t="s">
        <v>151</v>
      </c>
      <c r="D13" s="82">
        <f>'1. HOUSEHOLD TEMPERATURE'!AE6</f>
        <v>19.791666666666668</v>
      </c>
      <c r="E13" s="2" t="s">
        <v>5</v>
      </c>
      <c r="F13" s="2"/>
      <c r="G13" s="2"/>
      <c r="H13" s="23" t="s">
        <v>9</v>
      </c>
      <c r="I13" s="26">
        <f t="shared" ref="I13:I33" si="0">J13+K13*(I$12-J$12)</f>
        <v>1835.8236111111114</v>
      </c>
      <c r="J13" s="29">
        <v>1902.2333333333333</v>
      </c>
      <c r="K13" s="29">
        <v>318.76666666666711</v>
      </c>
      <c r="L13" s="2"/>
      <c r="M13" s="2"/>
      <c r="N13" s="2"/>
      <c r="O13" s="2"/>
      <c r="P13" s="2"/>
      <c r="Q13" s="2"/>
      <c r="R13" s="2"/>
      <c r="S13" s="2"/>
      <c r="T13" s="2"/>
      <c r="U13" s="2"/>
    </row>
    <row r="14" spans="1:22" ht="27" thickBot="1">
      <c r="A14" s="274" t="s">
        <v>130</v>
      </c>
      <c r="B14" s="10">
        <v>5</v>
      </c>
      <c r="C14" s="277" t="s">
        <v>152</v>
      </c>
      <c r="D14" s="82">
        <f>'1. HOUSEHOLD TEMPERATURE'!AH6</f>
        <v>23</v>
      </c>
      <c r="E14" s="2" t="s">
        <v>5</v>
      </c>
      <c r="F14" s="2"/>
      <c r="G14" s="2"/>
      <c r="H14" s="23" t="s">
        <v>17</v>
      </c>
      <c r="I14" s="26">
        <f t="shared" si="0"/>
        <v>1967.3152777777782</v>
      </c>
      <c r="J14" s="29">
        <v>2028.9333333333334</v>
      </c>
      <c r="K14" s="29">
        <v>295.76666666666699</v>
      </c>
      <c r="L14" s="2"/>
      <c r="M14" s="2"/>
      <c r="N14" s="2"/>
      <c r="O14" s="2"/>
      <c r="P14" s="2"/>
      <c r="Q14" s="2"/>
      <c r="R14" s="2"/>
      <c r="S14" s="2"/>
      <c r="T14" s="2"/>
      <c r="U14" s="2"/>
    </row>
    <row r="15" spans="1:22" ht="27" thickBot="1">
      <c r="A15" s="274" t="s">
        <v>44</v>
      </c>
      <c r="B15" s="10">
        <v>6</v>
      </c>
      <c r="C15" s="277" t="s">
        <v>132</v>
      </c>
      <c r="D15" s="85">
        <v>-3</v>
      </c>
      <c r="E15" s="2" t="s">
        <v>5</v>
      </c>
      <c r="F15" s="2"/>
      <c r="G15" s="2"/>
      <c r="H15" s="23" t="s">
        <v>29</v>
      </c>
      <c r="I15" s="26">
        <f t="shared" si="0"/>
        <v>2250.234027777778</v>
      </c>
      <c r="J15" s="29">
        <v>2316.2999999999997</v>
      </c>
      <c r="K15" s="29">
        <v>317.11666666666679</v>
      </c>
      <c r="L15" s="2"/>
      <c r="M15" s="2"/>
      <c r="N15" s="2"/>
      <c r="O15" s="2"/>
      <c r="P15" s="2"/>
      <c r="Q15" s="2"/>
      <c r="R15" s="2"/>
      <c r="S15" s="2"/>
      <c r="T15" s="2"/>
      <c r="U15" s="2"/>
    </row>
    <row r="16" spans="1:22" ht="27" thickBot="1">
      <c r="A16" s="274" t="s">
        <v>250</v>
      </c>
      <c r="B16" s="10">
        <v>7</v>
      </c>
      <c r="C16" s="277" t="s">
        <v>8</v>
      </c>
      <c r="D16" s="85" t="s">
        <v>15</v>
      </c>
      <c r="E16" s="16" t="s">
        <v>64</v>
      </c>
      <c r="F16" s="17"/>
      <c r="G16" s="17"/>
      <c r="H16" s="23" t="s">
        <v>27</v>
      </c>
      <c r="I16" s="26">
        <f>J16+K16*(I$12-J$12)</f>
        <v>2243.6791666666672</v>
      </c>
      <c r="J16" s="29">
        <v>2305.2000000000003</v>
      </c>
      <c r="K16" s="29">
        <v>295.29999999999973</v>
      </c>
      <c r="L16" s="2"/>
      <c r="M16" s="2"/>
      <c r="N16" s="2"/>
      <c r="O16" s="2"/>
      <c r="P16" s="2"/>
      <c r="Q16" s="2"/>
      <c r="R16" s="2"/>
      <c r="S16" s="2"/>
      <c r="T16" s="2"/>
      <c r="U16" s="2"/>
    </row>
    <row r="17" spans="1:46" ht="27" thickBot="1">
      <c r="A17" s="274" t="s">
        <v>251</v>
      </c>
      <c r="B17" s="10">
        <v>8</v>
      </c>
      <c r="C17" s="277" t="s">
        <v>62</v>
      </c>
      <c r="D17" s="86">
        <f>VLOOKUP($D$16,$H$13:$I$33,2,FALSE)</f>
        <v>1927.3770833333333</v>
      </c>
      <c r="E17" s="2" t="s">
        <v>7</v>
      </c>
      <c r="F17" s="2"/>
      <c r="G17" s="2"/>
      <c r="H17" s="23" t="s">
        <v>25</v>
      </c>
      <c r="I17" s="26">
        <f t="shared" si="0"/>
        <v>2251.8861111111119</v>
      </c>
      <c r="J17" s="29">
        <v>2315.0666666666671</v>
      </c>
      <c r="K17" s="29">
        <v>303.26666666666654</v>
      </c>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row>
    <row r="18" spans="1:46">
      <c r="A18" s="275"/>
      <c r="B18" s="276">
        <v>9</v>
      </c>
      <c r="C18" s="9" t="s">
        <v>45</v>
      </c>
      <c r="D18" s="88"/>
      <c r="E18" s="9"/>
      <c r="H18" s="23" t="s">
        <v>15</v>
      </c>
      <c r="I18" s="26">
        <f t="shared" si="0"/>
        <v>1927.3770833333333</v>
      </c>
      <c r="J18" s="29">
        <v>1985.6999999999998</v>
      </c>
      <c r="K18" s="29">
        <v>279.9500000000005</v>
      </c>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row>
    <row r="19" spans="1:46">
      <c r="A19" s="274" t="s">
        <v>117</v>
      </c>
      <c r="B19" s="10">
        <v>10</v>
      </c>
      <c r="C19" s="277" t="s">
        <v>43</v>
      </c>
      <c r="D19" s="87">
        <f>D13-3.5</f>
        <v>16.291666666666668</v>
      </c>
      <c r="E19" s="2" t="s">
        <v>5</v>
      </c>
      <c r="F19" s="2"/>
      <c r="G19" s="2"/>
      <c r="H19" s="23" t="s">
        <v>13</v>
      </c>
      <c r="I19" s="26">
        <f t="shared" si="0"/>
        <v>1868.022916666667</v>
      </c>
      <c r="J19" s="29">
        <v>1927.2</v>
      </c>
      <c r="K19" s="29">
        <v>284.0500000000003</v>
      </c>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row>
    <row r="20" spans="1:46">
      <c r="A20" s="274" t="s">
        <v>10</v>
      </c>
      <c r="B20" s="10">
        <v>11</v>
      </c>
      <c r="C20" s="277" t="s">
        <v>11</v>
      </c>
      <c r="D20" s="11">
        <f>D12*D10</f>
        <v>12750</v>
      </c>
      <c r="E20" s="2" t="s">
        <v>12</v>
      </c>
      <c r="F20" s="13">
        <v>1</v>
      </c>
      <c r="G20" s="2"/>
      <c r="H20" s="23" t="s">
        <v>20</v>
      </c>
      <c r="I20" s="26">
        <f t="shared" si="0"/>
        <v>2149.3729166666672</v>
      </c>
      <c r="J20" s="29">
        <v>2210.8000000000002</v>
      </c>
      <c r="K20" s="29">
        <v>294.8499999999998</v>
      </c>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row>
    <row r="21" spans="1:46">
      <c r="A21" s="274" t="s">
        <v>134</v>
      </c>
      <c r="B21" s="10">
        <v>12</v>
      </c>
      <c r="C21" s="277" t="s">
        <v>14</v>
      </c>
      <c r="D21" s="12">
        <f>(365*D11)*D12</f>
        <v>1861.5</v>
      </c>
      <c r="E21" s="2" t="s">
        <v>12</v>
      </c>
      <c r="F21" s="14">
        <f>D21/D20</f>
        <v>0.14599999999999999</v>
      </c>
      <c r="H21" s="23" t="s">
        <v>23</v>
      </c>
      <c r="I21" s="26">
        <f t="shared" si="0"/>
        <v>2161.0291666666676</v>
      </c>
      <c r="J21" s="29">
        <v>2227.6333333333341</v>
      </c>
      <c r="K21" s="29">
        <v>319.70000000000005</v>
      </c>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row>
    <row r="22" spans="1:46">
      <c r="A22" s="274" t="s">
        <v>133</v>
      </c>
      <c r="B22" s="10">
        <v>13</v>
      </c>
      <c r="C22" s="277" t="s">
        <v>16</v>
      </c>
      <c r="D22" s="12">
        <f>D20-D21</f>
        <v>10888.5</v>
      </c>
      <c r="E22" s="2" t="s">
        <v>12</v>
      </c>
      <c r="F22" s="18">
        <f>D22/D20</f>
        <v>0.85399999999999998</v>
      </c>
      <c r="G22" s="2"/>
      <c r="H22" s="23" t="s">
        <v>18</v>
      </c>
      <c r="I22" s="26">
        <f t="shared" si="0"/>
        <v>1981.1909722222233</v>
      </c>
      <c r="J22" s="29">
        <v>2044.8333333333342</v>
      </c>
      <c r="K22" s="29">
        <v>305.48333333333335</v>
      </c>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row>
    <row r="23" spans="1:46" ht="27" thickBot="1">
      <c r="A23" s="275"/>
      <c r="B23" s="276">
        <v>14</v>
      </c>
      <c r="C23" s="9" t="s">
        <v>19</v>
      </c>
      <c r="D23" s="88"/>
      <c r="E23" s="9"/>
      <c r="G23" s="2"/>
      <c r="H23" s="23" t="s">
        <v>32</v>
      </c>
      <c r="I23" s="26">
        <f t="shared" si="0"/>
        <v>2297.8055555555552</v>
      </c>
      <c r="J23" s="29">
        <v>2362.8333333333326</v>
      </c>
      <c r="K23" s="29">
        <v>312.13333333333321</v>
      </c>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row>
    <row r="24" spans="1:46" ht="27" thickBot="1">
      <c r="A24" s="274" t="s">
        <v>305</v>
      </c>
      <c r="B24" s="10">
        <v>15</v>
      </c>
      <c r="C24" s="277" t="s">
        <v>21</v>
      </c>
      <c r="D24" s="86">
        <f>($D$22/$D$17)*1000/24</f>
        <v>235.3911457821024</v>
      </c>
      <c r="E24" s="2" t="s">
        <v>22</v>
      </c>
      <c r="G24" s="2"/>
      <c r="H24" s="23" t="s">
        <v>39</v>
      </c>
      <c r="I24" s="26">
        <f t="shared" si="0"/>
        <v>2657.0875000000001</v>
      </c>
      <c r="J24" s="29">
        <v>2725.7333333333331</v>
      </c>
      <c r="K24" s="29">
        <v>329.5</v>
      </c>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row>
    <row r="25" spans="1:46" ht="27" thickBot="1">
      <c r="A25" s="274" t="s">
        <v>118</v>
      </c>
      <c r="B25" s="10">
        <v>16</v>
      </c>
      <c r="C25" s="277" t="s">
        <v>21</v>
      </c>
      <c r="D25" s="82">
        <f>$D$24*24/1000</f>
        <v>5.6493874987704578</v>
      </c>
      <c r="E25" s="2" t="s">
        <v>24</v>
      </c>
      <c r="F25" s="2"/>
      <c r="G25" s="2"/>
      <c r="H25" s="23" t="s">
        <v>38</v>
      </c>
      <c r="I25" s="26">
        <f t="shared" si="0"/>
        <v>2605.2326388888891</v>
      </c>
      <c r="J25" s="29">
        <v>2673.1666666666665</v>
      </c>
      <c r="K25" s="29">
        <v>326.08333333333394</v>
      </c>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row>
    <row r="26" spans="1:46" ht="27" thickBot="1">
      <c r="A26" s="274" t="s">
        <v>119</v>
      </c>
      <c r="B26" s="10">
        <v>17</v>
      </c>
      <c r="C26" s="277" t="s">
        <v>41</v>
      </c>
      <c r="D26" s="86">
        <f>($D$19-($D$15))*$D$25</f>
        <v>108.98610049711343</v>
      </c>
      <c r="E26" s="2" t="s">
        <v>26</v>
      </c>
      <c r="F26" s="2"/>
      <c r="G26" s="2"/>
      <c r="H26" s="23" t="s">
        <v>36</v>
      </c>
      <c r="I26" s="26">
        <f t="shared" si="0"/>
        <v>2570.2423611111117</v>
      </c>
      <c r="J26" s="29">
        <v>2639.1000000000004</v>
      </c>
      <c r="K26" s="29">
        <v>330.51666666666688</v>
      </c>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row>
    <row r="27" spans="1:46" ht="27" thickBot="1">
      <c r="A27" s="274" t="s">
        <v>120</v>
      </c>
      <c r="B27" s="10">
        <v>18</v>
      </c>
      <c r="C27" s="277" t="s">
        <v>42</v>
      </c>
      <c r="D27" s="86">
        <f>$D$26/$D$12</f>
        <v>128.21894176130991</v>
      </c>
      <c r="E27" s="2" t="s">
        <v>28</v>
      </c>
      <c r="F27" s="2"/>
      <c r="G27" s="2"/>
      <c r="H27" s="23" t="s">
        <v>37</v>
      </c>
      <c r="I27" s="26">
        <f t="shared" si="0"/>
        <v>2591.7201388888898</v>
      </c>
      <c r="J27" s="29">
        <v>2660.6333333333337</v>
      </c>
      <c r="K27" s="29">
        <v>330.78333333333353</v>
      </c>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row>
    <row r="28" spans="1:46" ht="27" thickBot="1">
      <c r="A28" s="274" t="s">
        <v>131</v>
      </c>
      <c r="B28" s="10">
        <v>19</v>
      </c>
      <c r="C28" s="277" t="s">
        <v>30</v>
      </c>
      <c r="D28" s="82">
        <f>$D$24*($D$14-$D$15-3.5)/1000</f>
        <v>5.2963007800973037</v>
      </c>
      <c r="E28" s="2" t="s">
        <v>31</v>
      </c>
      <c r="F28" s="2"/>
      <c r="G28" s="2"/>
      <c r="H28" s="23" t="s">
        <v>40</v>
      </c>
      <c r="I28" s="26">
        <f t="shared" si="0"/>
        <v>2770.0576388888894</v>
      </c>
      <c r="J28" s="29">
        <v>2840.7000000000003</v>
      </c>
      <c r="K28" s="29">
        <v>339.08333333333326</v>
      </c>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row>
    <row r="29" spans="1:46" ht="27" thickBot="1">
      <c r="A29" s="275"/>
      <c r="B29" s="276">
        <v>20</v>
      </c>
      <c r="C29" s="9" t="s">
        <v>46</v>
      </c>
      <c r="D29" s="88"/>
      <c r="E29" s="9"/>
      <c r="F29" s="2"/>
      <c r="G29" s="2"/>
      <c r="H29" s="23" t="s">
        <v>35</v>
      </c>
      <c r="I29" s="26">
        <f t="shared" si="0"/>
        <v>2503.6791666666668</v>
      </c>
      <c r="J29" s="29">
        <v>2573.0333333333328</v>
      </c>
      <c r="K29" s="29">
        <v>332.90000000000009</v>
      </c>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row>
    <row r="30" spans="1:46" ht="27" thickBot="1">
      <c r="A30" s="274" t="s">
        <v>56</v>
      </c>
      <c r="B30" s="10">
        <v>21</v>
      </c>
      <c r="C30" s="277" t="s">
        <v>47</v>
      </c>
      <c r="D30" s="83">
        <v>162</v>
      </c>
      <c r="E30" s="6" t="s">
        <v>48</v>
      </c>
      <c r="F30" s="2"/>
      <c r="G30" s="2"/>
      <c r="H30" s="23" t="s">
        <v>34</v>
      </c>
      <c r="I30" s="26">
        <f t="shared" si="0"/>
        <v>2394.4652777777783</v>
      </c>
      <c r="J30" s="29">
        <v>2462.6666666666665</v>
      </c>
      <c r="K30" s="29">
        <v>327.36666666666588</v>
      </c>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row>
    <row r="31" spans="1:46" ht="27" thickBot="1">
      <c r="A31" s="274" t="s">
        <v>51</v>
      </c>
      <c r="B31" s="10">
        <v>22</v>
      </c>
      <c r="C31" s="277" t="s">
        <v>50</v>
      </c>
      <c r="D31" s="86">
        <f>$D$22/$D$30</f>
        <v>67.212962962962962</v>
      </c>
      <c r="E31" s="6" t="s">
        <v>49</v>
      </c>
      <c r="F31" s="2"/>
      <c r="G31" s="2"/>
      <c r="H31" s="23" t="s">
        <v>35</v>
      </c>
      <c r="I31" s="26">
        <f t="shared" si="0"/>
        <v>2309.9597222222228</v>
      </c>
      <c r="J31" s="29">
        <v>2379.9666666666667</v>
      </c>
      <c r="K31" s="30">
        <v>336.03333333333308</v>
      </c>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row>
    <row r="32" spans="1:46">
      <c r="A32" s="274" t="s">
        <v>52</v>
      </c>
      <c r="B32" s="10">
        <v>23</v>
      </c>
      <c r="C32" s="2"/>
      <c r="D32" s="2"/>
      <c r="E32" s="2"/>
      <c r="F32" s="2"/>
      <c r="G32" s="2"/>
      <c r="H32" s="23" t="s">
        <v>34</v>
      </c>
      <c r="I32" s="26">
        <f t="shared" si="0"/>
        <v>2394.4652777777783</v>
      </c>
      <c r="J32" s="29">
        <v>2462.6666666666665</v>
      </c>
      <c r="K32" s="30">
        <v>327.36666666666588</v>
      </c>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row>
    <row r="33" spans="1:47" ht="27" thickBot="1">
      <c r="A33" s="274" t="s">
        <v>54</v>
      </c>
      <c r="B33" s="10">
        <v>24</v>
      </c>
      <c r="F33" s="2"/>
      <c r="G33" s="2"/>
      <c r="H33" s="25" t="s">
        <v>33</v>
      </c>
      <c r="I33" s="24">
        <f t="shared" si="0"/>
        <v>2309.9597222222228</v>
      </c>
      <c r="J33" s="31">
        <v>2379.9666666666667</v>
      </c>
      <c r="K33" s="31">
        <v>336.03333333333308</v>
      </c>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row>
    <row r="34" spans="1:47" ht="27" thickTop="1">
      <c r="A34" s="274" t="s">
        <v>53</v>
      </c>
      <c r="B34" s="10">
        <v>25</v>
      </c>
      <c r="C34" s="2"/>
      <c r="D34" s="2"/>
      <c r="E34" s="2"/>
      <c r="F34" s="2"/>
      <c r="G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row>
    <row r="35" spans="1:47">
      <c r="A35" s="274" t="s">
        <v>55</v>
      </c>
      <c r="B35" s="10">
        <v>26</v>
      </c>
      <c r="C35" s="2"/>
      <c r="D35" s="2"/>
      <c r="E35" s="2"/>
      <c r="G35" s="2"/>
      <c r="H35" s="74" t="s">
        <v>109</v>
      </c>
      <c r="I35" s="74">
        <v>0</v>
      </c>
      <c r="J35" s="74">
        <v>1</v>
      </c>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row>
    <row r="36" spans="1:47">
      <c r="B36" s="2"/>
      <c r="C36" s="2"/>
      <c r="D36" s="2"/>
      <c r="E36" s="2"/>
      <c r="F36" s="2"/>
      <c r="G36" s="2"/>
      <c r="H36" s="75" t="s">
        <v>106</v>
      </c>
      <c r="I36" s="75">
        <v>15</v>
      </c>
      <c r="J36" s="75">
        <v>15</v>
      </c>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row>
    <row r="37" spans="1:47">
      <c r="B37" s="2"/>
      <c r="C37" s="2"/>
      <c r="D37" s="2"/>
      <c r="E37" s="2"/>
      <c r="F37" s="2"/>
      <c r="G37" s="2"/>
      <c r="H37" s="76" t="s">
        <v>107</v>
      </c>
      <c r="I37" s="76">
        <v>25</v>
      </c>
      <c r="J37" s="76">
        <v>25</v>
      </c>
      <c r="K37" s="2">
        <v>0.5</v>
      </c>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row>
    <row r="38" spans="1:47">
      <c r="B38" s="2"/>
      <c r="C38" s="2"/>
      <c r="D38" s="2"/>
      <c r="E38" s="2"/>
      <c r="F38" s="2"/>
      <c r="G38" s="2"/>
      <c r="H38" s="77" t="s">
        <v>108</v>
      </c>
      <c r="I38" s="77">
        <v>50</v>
      </c>
      <c r="J38" s="78">
        <v>50</v>
      </c>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row>
    <row r="39" spans="1:47">
      <c r="B39" s="2"/>
      <c r="C39" s="2"/>
      <c r="D39" s="2"/>
      <c r="E39" s="2"/>
      <c r="F39" s="2"/>
      <c r="G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row>
    <row r="40" spans="1:47">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row>
    <row r="41" spans="1:47">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row>
    <row r="42" spans="1:47">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row>
    <row r="43" spans="1:47">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row>
    <row r="44" spans="1:47">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row>
    <row r="45" spans="1:47">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row>
    <row r="46" spans="1:47">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row>
    <row r="47" spans="1:47">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row>
    <row r="48" spans="1:47">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row>
    <row r="49" spans="2:47">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row>
    <row r="50" spans="2:4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row>
    <row r="51" spans="2:4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row>
    <row r="52" spans="2:47">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row>
    <row r="53" spans="2:47">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row>
    <row r="54" spans="2:47">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row>
    <row r="55" spans="2:47">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row>
    <row r="56" spans="2:47">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row>
    <row r="57" spans="2:47">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row>
    <row r="58" spans="2:47">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row>
    <row r="59" spans="2:47">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row>
    <row r="60" spans="2:47">
      <c r="B60" s="2"/>
      <c r="C60" s="2"/>
      <c r="D60" s="2"/>
      <c r="E60" s="2"/>
      <c r="F60" s="2"/>
      <c r="G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row>
    <row r="61" spans="2:47">
      <c r="B61" s="2"/>
      <c r="C61" s="2"/>
      <c r="D61" s="2"/>
      <c r="E61" s="2"/>
      <c r="F61" s="2"/>
      <c r="G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row>
    <row r="62" spans="2:47">
      <c r="B62" s="2"/>
      <c r="C62" s="2"/>
      <c r="D62" s="2"/>
      <c r="E62" s="2"/>
      <c r="F62" s="2"/>
      <c r="G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row>
    <row r="63" spans="2:47">
      <c r="B63" s="2"/>
      <c r="C63" s="2"/>
      <c r="D63" s="2"/>
      <c r="E63" s="2"/>
      <c r="F63" s="2"/>
      <c r="G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row>
    <row r="64" spans="2:47">
      <c r="B64" s="2"/>
      <c r="C64" s="2"/>
      <c r="D64" s="2"/>
      <c r="E64" s="2"/>
      <c r="F64" s="2"/>
      <c r="G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row>
    <row r="65" spans="2:47">
      <c r="B65" s="2"/>
      <c r="C65" s="2"/>
      <c r="D65" s="2"/>
      <c r="E65" s="2"/>
      <c r="F65" s="2"/>
      <c r="G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row>
    <row r="66" spans="2:47">
      <c r="B66" s="2"/>
      <c r="C66" s="2"/>
      <c r="D66" s="2"/>
      <c r="E66" s="2"/>
      <c r="F66" s="2"/>
      <c r="G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row>
    <row r="67" spans="2:47">
      <c r="B67" s="2"/>
      <c r="C67" s="2"/>
      <c r="D67" s="2"/>
      <c r="E67" s="2"/>
      <c r="F67" s="2"/>
      <c r="G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row>
    <row r="68" spans="2:47">
      <c r="B68" s="2"/>
      <c r="C68" s="2"/>
      <c r="D68" s="2"/>
      <c r="E68" s="2"/>
      <c r="F68" s="2"/>
      <c r="G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row>
    <row r="69" spans="2:47">
      <c r="B69" s="2"/>
      <c r="C69" s="2"/>
      <c r="D69" s="2"/>
      <c r="E69" s="2"/>
      <c r="F69" s="2"/>
      <c r="G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row>
    <row r="70" spans="2:47">
      <c r="B70" s="2"/>
      <c r="C70" s="2"/>
      <c r="D70" s="2"/>
      <c r="E70" s="2"/>
      <c r="F70" s="2"/>
      <c r="G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row>
    <row r="71" spans="2:47">
      <c r="B71" s="2"/>
      <c r="C71" s="2"/>
      <c r="D71" s="2"/>
      <c r="E71" s="2"/>
      <c r="F71" s="2"/>
      <c r="G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row>
    <row r="72" spans="2:47">
      <c r="B72" s="2"/>
      <c r="C72" s="2"/>
      <c r="D72" s="2"/>
      <c r="E72" s="2"/>
      <c r="F72" s="2"/>
      <c r="G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row>
    <row r="73" spans="2:47">
      <c r="B73" s="2"/>
      <c r="C73" s="2"/>
      <c r="D73" s="2"/>
      <c r="E73" s="2"/>
      <c r="F73" s="2"/>
      <c r="G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row>
    <row r="74" spans="2:47">
      <c r="B74" s="2"/>
      <c r="C74" s="2"/>
      <c r="D74" s="2"/>
      <c r="E74" s="2"/>
      <c r="F74" s="2"/>
      <c r="G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row>
    <row r="75" spans="2:47">
      <c r="B75" s="2"/>
      <c r="C75" s="2"/>
      <c r="D75" s="2"/>
      <c r="E75" s="2"/>
      <c r="F75" s="2"/>
      <c r="G75" s="2"/>
    </row>
    <row r="76" spans="2:47">
      <c r="B76" s="2"/>
      <c r="C76" s="2"/>
      <c r="D76" s="2"/>
      <c r="E76" s="2"/>
      <c r="F76" s="2"/>
      <c r="G76" s="2"/>
    </row>
    <row r="77" spans="2:47">
      <c r="B77" s="2"/>
      <c r="C77" s="2"/>
      <c r="D77" s="2"/>
      <c r="E77" s="2"/>
      <c r="F77" s="2"/>
      <c r="G77" s="2"/>
    </row>
    <row r="78" spans="2:47">
      <c r="B78" s="2"/>
      <c r="C78" s="2"/>
      <c r="D78" s="2"/>
      <c r="E78" s="2"/>
      <c r="F78" s="2"/>
      <c r="G78" s="2"/>
    </row>
    <row r="79" spans="2:47">
      <c r="B79" s="2"/>
      <c r="C79" s="2"/>
      <c r="D79" s="2"/>
      <c r="E79" s="2"/>
      <c r="F79" s="2"/>
      <c r="G79" s="2"/>
    </row>
    <row r="80" spans="2:47">
      <c r="B80" s="2"/>
      <c r="C80" s="2"/>
      <c r="D80" s="2"/>
      <c r="E80" s="2"/>
      <c r="F80" s="2"/>
      <c r="G80" s="2"/>
    </row>
    <row r="81" spans="2:7">
      <c r="B81" s="2"/>
      <c r="C81" s="2"/>
      <c r="D81" s="2"/>
      <c r="E81" s="2"/>
      <c r="F81" s="2"/>
      <c r="G81" s="2"/>
    </row>
    <row r="82" spans="2:7">
      <c r="B82" s="2"/>
      <c r="C82" s="2"/>
      <c r="D82" s="2"/>
      <c r="E82" s="2"/>
      <c r="F82" s="2"/>
      <c r="G82" s="2"/>
    </row>
    <row r="83" spans="2:7">
      <c r="B83" s="2"/>
      <c r="C83" s="2"/>
      <c r="D83" s="2"/>
      <c r="E83" s="2"/>
      <c r="F83" s="2"/>
      <c r="G83" s="2"/>
    </row>
    <row r="84" spans="2:7">
      <c r="F84" s="2"/>
      <c r="G84" s="2"/>
    </row>
    <row r="85" spans="2:7">
      <c r="F85" s="2"/>
      <c r="G85" s="2"/>
    </row>
  </sheetData>
  <mergeCells count="1">
    <mergeCell ref="J11:K11"/>
  </mergeCells>
  <phoneticPr fontId="8" type="noConversion"/>
  <conditionalFormatting sqref="F21:F22">
    <cfRule type="dataBar" priority="3">
      <dataBar>
        <cfvo type="min"/>
        <cfvo type="max"/>
        <color rgb="FF638EC6"/>
      </dataBar>
      <extLst>
        <ext xmlns:x14="http://schemas.microsoft.com/office/spreadsheetml/2009/9/main" uri="{B025F937-C7B1-47D3-B67F-A62EFF666E3E}">
          <x14:id>{700F0E22-4C55-4143-91DC-CFBE9BFEE76C}</x14:id>
        </ext>
      </extLst>
    </cfRule>
  </conditionalFormatting>
  <conditionalFormatting sqref="F22">
    <cfRule type="dataBar" priority="2">
      <dataBar>
        <cfvo type="min"/>
        <cfvo type="max"/>
        <color rgb="FFFF555A"/>
      </dataBar>
      <extLst>
        <ext xmlns:x14="http://schemas.microsoft.com/office/spreadsheetml/2009/9/main" uri="{B025F937-C7B1-47D3-B67F-A62EFF666E3E}">
          <x14:id>{CAD1E54A-0A4D-4F49-842F-9BD7B76A5DFA}</x14:id>
        </ext>
      </extLst>
    </cfRule>
  </conditionalFormatting>
  <conditionalFormatting sqref="F20:F22">
    <cfRule type="dataBar" priority="1">
      <dataBar>
        <cfvo type="min"/>
        <cfvo type="max"/>
        <color rgb="FF638EC6"/>
      </dataBar>
      <extLst>
        <ext xmlns:x14="http://schemas.microsoft.com/office/spreadsheetml/2009/9/main" uri="{B025F937-C7B1-47D3-B67F-A62EFF666E3E}">
          <x14:id>{32BE626F-42AA-0148-8E48-1DD2E837F0F9}</x14:id>
        </ext>
      </extLst>
    </cfRule>
  </conditionalFormatting>
  <dataValidations count="1">
    <dataValidation type="list" allowBlank="1" showInputMessage="1" showErrorMessage="1" sqref="D16" xr:uid="{A1B09E7E-31A6-5F47-81F8-97C3E67AE62F}">
      <formula1>$H$13:$H$33</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700F0E22-4C55-4143-91DC-CFBE9BFEE76C}">
            <x14:dataBar minLength="0" maxLength="100" gradient="0">
              <x14:cfvo type="autoMin"/>
              <x14:cfvo type="autoMax"/>
              <x14:negativeFillColor rgb="FFFF0000"/>
              <x14:axisColor rgb="FF000000"/>
            </x14:dataBar>
          </x14:cfRule>
          <xm:sqref>F21:F22</xm:sqref>
        </x14:conditionalFormatting>
        <x14:conditionalFormatting xmlns:xm="http://schemas.microsoft.com/office/excel/2006/main">
          <x14:cfRule type="dataBar" id="{CAD1E54A-0A4D-4F49-842F-9BD7B76A5DFA}">
            <x14:dataBar minLength="0" maxLength="100" gradient="0">
              <x14:cfvo type="autoMin"/>
              <x14:cfvo type="autoMax"/>
              <x14:negativeFillColor rgb="FFFF0000"/>
              <x14:axisColor rgb="FF000000"/>
            </x14:dataBar>
          </x14:cfRule>
          <xm:sqref>F22</xm:sqref>
        </x14:conditionalFormatting>
        <x14:conditionalFormatting xmlns:xm="http://schemas.microsoft.com/office/excel/2006/main">
          <x14:cfRule type="dataBar" id="{32BE626F-42AA-0148-8E48-1DD2E837F0F9}">
            <x14:dataBar minLength="0" maxLength="100" gradient="0">
              <x14:cfvo type="autoMin"/>
              <x14:cfvo type="autoMax"/>
              <x14:negativeFillColor rgb="FFFF0000"/>
              <x14:axisColor rgb="FF000000"/>
            </x14:dataBar>
          </x14:cfRule>
          <xm:sqref>F20:F22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9DCD4-A67F-B844-979F-ED1D4241C74C}">
  <dimension ref="A1:V88"/>
  <sheetViews>
    <sheetView zoomScale="69" workbookViewId="0">
      <selection activeCell="E11" sqref="E11"/>
    </sheetView>
  </sheetViews>
  <sheetFormatPr baseColWidth="10" defaultColWidth="10.875" defaultRowHeight="18.75"/>
  <cols>
    <col min="1" max="1" width="145.5" style="122" customWidth="1"/>
    <col min="2" max="2" width="7.375" style="122" customWidth="1"/>
    <col min="3" max="3" width="9.375" style="122" customWidth="1"/>
    <col min="4" max="4" width="52.5" style="122" customWidth="1"/>
    <col min="5" max="8" width="17.375" style="122" customWidth="1"/>
    <col min="9" max="9" width="17.375" style="123" customWidth="1"/>
    <col min="10" max="10" width="14" style="122" customWidth="1"/>
    <col min="11" max="11" width="15.5" style="122" customWidth="1"/>
    <col min="12" max="12" width="14.625" style="122" customWidth="1"/>
    <col min="13" max="13" width="14.375" style="122" customWidth="1"/>
    <col min="14" max="16384" width="10.875" style="122"/>
  </cols>
  <sheetData>
    <row r="1" spans="1:22" s="1" customFormat="1" ht="61.5">
      <c r="A1" s="119" t="s">
        <v>306</v>
      </c>
      <c r="B1" s="138"/>
      <c r="C1" s="138"/>
      <c r="D1" s="138"/>
      <c r="E1" s="138"/>
      <c r="F1" s="138"/>
      <c r="G1" s="138"/>
      <c r="I1" s="226"/>
    </row>
    <row r="2" spans="1:22" s="91" customFormat="1" ht="31.5">
      <c r="A2" s="91" t="s">
        <v>143</v>
      </c>
      <c r="B2" s="139"/>
      <c r="C2" s="139"/>
      <c r="D2" s="139"/>
      <c r="E2" s="139"/>
      <c r="F2" s="139"/>
      <c r="G2" s="139"/>
      <c r="I2" s="227"/>
    </row>
    <row r="3" spans="1:22" s="91" customFormat="1" ht="31.5">
      <c r="A3" s="91" t="s">
        <v>144</v>
      </c>
      <c r="B3" s="139"/>
      <c r="C3" s="139"/>
      <c r="D3" s="139"/>
      <c r="E3" s="139"/>
      <c r="F3" s="139"/>
      <c r="G3" s="139"/>
      <c r="I3" s="227"/>
    </row>
    <row r="6" spans="1:22" ht="32.25" thickBot="1">
      <c r="A6" s="7" t="s">
        <v>0</v>
      </c>
      <c r="B6" s="7" t="s">
        <v>1</v>
      </c>
      <c r="D6" s="228" t="s">
        <v>263</v>
      </c>
      <c r="K6" s="131"/>
    </row>
    <row r="7" spans="1:22" ht="27" thickBot="1">
      <c r="A7" s="272" t="s">
        <v>282</v>
      </c>
      <c r="B7" s="10" cm="1">
        <f t="array" ref="B7:B26">_xlfn.SEQUENCE(20,1)</f>
        <v>1</v>
      </c>
      <c r="D7" s="164" t="s">
        <v>264</v>
      </c>
      <c r="E7" s="229">
        <f>'3. HEAT PUMP CALCULATION'!D14</f>
        <v>23</v>
      </c>
      <c r="F7" s="230" t="s">
        <v>5</v>
      </c>
      <c r="G7" s="131"/>
      <c r="H7" s="131"/>
      <c r="I7" s="131"/>
      <c r="J7" s="131"/>
      <c r="K7" s="131"/>
      <c r="S7" s="123"/>
      <c r="T7" s="123"/>
      <c r="U7" s="124"/>
      <c r="V7" s="123"/>
    </row>
    <row r="8" spans="1:22" ht="27" thickBot="1">
      <c r="A8" s="272" t="s">
        <v>283</v>
      </c>
      <c r="B8" s="239">
        <v>2</v>
      </c>
      <c r="D8" s="164" t="s">
        <v>265</v>
      </c>
      <c r="E8" s="201">
        <f>'3. HEAT PUMP CALCULATION'!D28*1000</f>
        <v>5296.3007800973037</v>
      </c>
      <c r="F8" s="230" t="s">
        <v>266</v>
      </c>
      <c r="G8" s="140"/>
      <c r="H8" s="140"/>
      <c r="I8" s="140"/>
      <c r="J8" s="140"/>
      <c r="K8" s="131"/>
      <c r="S8" s="123"/>
      <c r="T8" s="123"/>
      <c r="U8" s="124"/>
      <c r="V8" s="123"/>
    </row>
    <row r="9" spans="1:22" ht="27" thickBot="1">
      <c r="A9" s="272" t="s">
        <v>284</v>
      </c>
      <c r="B9" s="239">
        <v>3</v>
      </c>
      <c r="D9" s="164" t="s">
        <v>267</v>
      </c>
      <c r="E9" s="231">
        <v>10</v>
      </c>
      <c r="F9" s="230" t="s">
        <v>5</v>
      </c>
      <c r="G9" s="140"/>
      <c r="H9" s="140"/>
      <c r="I9" s="140"/>
      <c r="J9" s="140"/>
      <c r="K9" s="131"/>
      <c r="S9" s="123"/>
      <c r="T9" s="123"/>
      <c r="U9" s="124"/>
      <c r="V9" s="123"/>
    </row>
    <row r="10" spans="1:22" ht="27" thickBot="1">
      <c r="A10" s="272" t="s">
        <v>299</v>
      </c>
      <c r="B10" s="239">
        <v>4</v>
      </c>
      <c r="D10" s="164" t="s">
        <v>268</v>
      </c>
      <c r="E10" s="231">
        <v>50</v>
      </c>
      <c r="F10" s="230" t="s">
        <v>5</v>
      </c>
      <c r="G10" s="140"/>
      <c r="H10" s="140"/>
      <c r="I10" s="140"/>
      <c r="J10" s="140"/>
      <c r="K10" s="131"/>
      <c r="S10" s="123"/>
      <c r="T10" s="123"/>
      <c r="U10" s="124"/>
      <c r="V10" s="123"/>
    </row>
    <row r="11" spans="1:22" ht="26.25">
      <c r="A11" s="272"/>
      <c r="B11" s="239">
        <v>5</v>
      </c>
      <c r="D11" s="164"/>
      <c r="E11" s="232"/>
      <c r="F11" s="140"/>
      <c r="G11" s="140"/>
      <c r="H11" s="140"/>
      <c r="I11" s="140"/>
      <c r="J11" s="140"/>
      <c r="K11" s="131"/>
      <c r="S11" s="123"/>
      <c r="T11" s="123"/>
      <c r="U11" s="123"/>
      <c r="V11" s="123"/>
    </row>
    <row r="12" spans="1:22" ht="27" customHeight="1">
      <c r="A12" s="272" t="s">
        <v>286</v>
      </c>
      <c r="B12" s="239">
        <v>6</v>
      </c>
      <c r="D12" s="164" t="s">
        <v>258</v>
      </c>
      <c r="E12" s="233">
        <v>17</v>
      </c>
      <c r="F12" s="233">
        <v>29</v>
      </c>
      <c r="G12" s="233">
        <v>39</v>
      </c>
      <c r="H12" s="233">
        <v>50</v>
      </c>
      <c r="I12" s="233">
        <v>70</v>
      </c>
      <c r="J12" s="140" t="s">
        <v>259</v>
      </c>
      <c r="K12" s="131"/>
    </row>
    <row r="13" spans="1:22" ht="167.1" customHeight="1">
      <c r="A13" s="273" t="s">
        <v>298</v>
      </c>
      <c r="B13" s="239">
        <v>7</v>
      </c>
      <c r="D13" s="164"/>
      <c r="E13" s="233"/>
      <c r="F13" s="233"/>
      <c r="G13" s="233"/>
      <c r="H13" s="233"/>
      <c r="I13" s="233"/>
      <c r="J13" s="140"/>
      <c r="K13" s="131"/>
    </row>
    <row r="14" spans="1:22" ht="26.25">
      <c r="A14" s="272" t="s">
        <v>285</v>
      </c>
      <c r="B14" s="239">
        <v>8</v>
      </c>
      <c r="D14" s="164" t="s">
        <v>252</v>
      </c>
      <c r="E14" s="234" t="s">
        <v>253</v>
      </c>
      <c r="F14" s="234" t="s">
        <v>254</v>
      </c>
      <c r="G14" s="234" t="s">
        <v>255</v>
      </c>
      <c r="H14" s="234" t="s">
        <v>256</v>
      </c>
      <c r="I14" s="234" t="s">
        <v>257</v>
      </c>
      <c r="J14" s="140"/>
      <c r="K14" s="131"/>
    </row>
    <row r="15" spans="1:22" ht="27" thickBot="1">
      <c r="A15" s="272"/>
      <c r="B15" s="239">
        <v>9</v>
      </c>
      <c r="K15" s="131"/>
    </row>
    <row r="16" spans="1:22" ht="27" thickBot="1">
      <c r="A16" s="272"/>
      <c r="B16" s="239">
        <v>10</v>
      </c>
      <c r="D16" s="241" t="s">
        <v>269</v>
      </c>
      <c r="E16" s="245"/>
      <c r="F16" s="242"/>
      <c r="G16" s="243" t="s">
        <v>141</v>
      </c>
      <c r="H16" s="242"/>
      <c r="I16" s="244"/>
      <c r="J16" s="140"/>
      <c r="K16" s="131"/>
    </row>
    <row r="17" spans="1:14" ht="26.25">
      <c r="A17" s="272" t="str">
        <f>"Flow Temperatures that will deliver the required heat to your home with "&amp;D17 &amp;" m^2 of radiator surface"</f>
        <v>Flow Temperatures that will deliver the required heat to your home with 1 m^2 of radiator surface</v>
      </c>
      <c r="B17" s="239">
        <v>11</v>
      </c>
      <c r="D17" s="263" cm="1">
        <f t="array" ref="D17:D26">_xlfn.SEQUENCE(10,1)</f>
        <v>1</v>
      </c>
      <c r="E17" s="252" t="str">
        <f t="shared" ref="E17:I26" si="0">IF($E$8/(E$12*$D17)+$E$7+$E$9/2&lt;$E$10,$E$8/(E$12*$D17)+$E$7+$E$9/2, "Not Possible")</f>
        <v>Not Possible</v>
      </c>
      <c r="F17" s="253" t="str">
        <f t="shared" si="0"/>
        <v>Not Possible</v>
      </c>
      <c r="G17" s="253" t="str">
        <f t="shared" si="0"/>
        <v>Not Possible</v>
      </c>
      <c r="H17" s="253" t="str">
        <f t="shared" si="0"/>
        <v>Not Possible</v>
      </c>
      <c r="I17" s="254" t="str">
        <f t="shared" si="0"/>
        <v>Not Possible</v>
      </c>
      <c r="J17" s="140"/>
      <c r="K17" s="131"/>
    </row>
    <row r="18" spans="1:14" ht="26.25">
      <c r="A18" s="272" t="str">
        <f t="shared" ref="A18:A25" si="1">"Flow Temperatures that will deliver the required heat to your home with "&amp;D18 &amp;" m^2 of radiator surface"</f>
        <v>Flow Temperatures that will deliver the required heat to your home with 2 m^2 of radiator surface</v>
      </c>
      <c r="B18" s="239">
        <v>12</v>
      </c>
      <c r="D18" s="264">
        <v>2</v>
      </c>
      <c r="E18" s="255" t="str">
        <f t="shared" si="0"/>
        <v>Not Possible</v>
      </c>
      <c r="F18" s="256" t="str">
        <f t="shared" si="0"/>
        <v>Not Possible</v>
      </c>
      <c r="G18" s="256" t="str">
        <f t="shared" si="0"/>
        <v>Not Possible</v>
      </c>
      <c r="H18" s="256" t="str">
        <f t="shared" si="0"/>
        <v>Not Possible</v>
      </c>
      <c r="I18" s="257" t="str">
        <f t="shared" si="0"/>
        <v>Not Possible</v>
      </c>
      <c r="J18" s="140"/>
      <c r="K18" s="131"/>
    </row>
    <row r="19" spans="1:14" ht="26.25">
      <c r="A19" s="272" t="str">
        <f t="shared" si="1"/>
        <v>Flow Temperatures that will deliver the required heat to your home with 3 m^2 of radiator surface</v>
      </c>
      <c r="B19" s="239">
        <v>13</v>
      </c>
      <c r="D19" s="264">
        <v>3</v>
      </c>
      <c r="E19" s="255" t="str">
        <f t="shared" si="0"/>
        <v>Not Possible</v>
      </c>
      <c r="F19" s="256" t="str">
        <f t="shared" si="0"/>
        <v>Not Possible</v>
      </c>
      <c r="G19" s="256" t="str">
        <f t="shared" si="0"/>
        <v>Not Possible</v>
      </c>
      <c r="H19" s="256" t="str">
        <f t="shared" si="0"/>
        <v>Not Possible</v>
      </c>
      <c r="I19" s="257" t="str">
        <f t="shared" si="0"/>
        <v>Not Possible</v>
      </c>
      <c r="J19" s="140"/>
      <c r="K19" s="131"/>
    </row>
    <row r="20" spans="1:14" ht="26.25">
      <c r="A20" s="272" t="str">
        <f t="shared" si="1"/>
        <v>Flow Temperatures that will deliver the required heat to your home with 4 m^2 of radiator surface</v>
      </c>
      <c r="B20" s="239">
        <v>14</v>
      </c>
      <c r="D20" s="264">
        <v>4</v>
      </c>
      <c r="E20" s="255" t="str">
        <f t="shared" si="0"/>
        <v>Not Possible</v>
      </c>
      <c r="F20" s="256" t="str">
        <f t="shared" si="0"/>
        <v>Not Possible</v>
      </c>
      <c r="G20" s="256" t="str">
        <f t="shared" si="0"/>
        <v>Not Possible</v>
      </c>
      <c r="H20" s="256" t="str">
        <f t="shared" si="0"/>
        <v>Not Possible</v>
      </c>
      <c r="I20" s="257">
        <f t="shared" si="0"/>
        <v>46.915359928918946</v>
      </c>
      <c r="J20" s="131"/>
    </row>
    <row r="21" spans="1:14" ht="26.25">
      <c r="A21" s="272" t="str">
        <f t="shared" si="1"/>
        <v>Flow Temperatures that will deliver the required heat to your home with 5 m^2 of radiator surface</v>
      </c>
      <c r="B21" s="239">
        <v>15</v>
      </c>
      <c r="D21" s="264">
        <v>5</v>
      </c>
      <c r="E21" s="255" t="str">
        <f t="shared" si="0"/>
        <v>Not Possible</v>
      </c>
      <c r="F21" s="256" t="str">
        <f t="shared" si="0"/>
        <v>Not Possible</v>
      </c>
      <c r="G21" s="256" t="str">
        <f t="shared" si="0"/>
        <v>Not Possible</v>
      </c>
      <c r="H21" s="256">
        <f t="shared" si="0"/>
        <v>49.185203120389218</v>
      </c>
      <c r="I21" s="257">
        <f t="shared" si="0"/>
        <v>43.132287943135154</v>
      </c>
    </row>
    <row r="22" spans="1:14" ht="26.25">
      <c r="A22" s="272" t="str">
        <f t="shared" si="1"/>
        <v>Flow Temperatures that will deliver the required heat to your home with 6 m^2 of radiator surface</v>
      </c>
      <c r="B22" s="239">
        <v>16</v>
      </c>
      <c r="D22" s="264">
        <v>6</v>
      </c>
      <c r="E22" s="255" t="str">
        <f t="shared" si="0"/>
        <v>Not Possible</v>
      </c>
      <c r="F22" s="256" t="str">
        <f t="shared" si="0"/>
        <v>Not Possible</v>
      </c>
      <c r="G22" s="256" t="str">
        <f t="shared" si="0"/>
        <v>Not Possible</v>
      </c>
      <c r="H22" s="256">
        <f t="shared" si="0"/>
        <v>45.654335933657677</v>
      </c>
      <c r="I22" s="257">
        <f t="shared" si="0"/>
        <v>40.610239952612631</v>
      </c>
      <c r="J22" s="127"/>
    </row>
    <row r="23" spans="1:14" s="128" customFormat="1" ht="26.25">
      <c r="A23" s="272" t="str">
        <f t="shared" si="1"/>
        <v>Flow Temperatures that will deliver the required heat to your home with 7 m^2 of radiator surface</v>
      </c>
      <c r="B23" s="239">
        <v>17</v>
      </c>
      <c r="C23" s="142"/>
      <c r="D23" s="264">
        <v>7</v>
      </c>
      <c r="E23" s="255" t="str">
        <f t="shared" si="0"/>
        <v>Not Possible</v>
      </c>
      <c r="F23" s="256" t="str">
        <f t="shared" si="0"/>
        <v>Not Possible</v>
      </c>
      <c r="G23" s="256">
        <f t="shared" si="0"/>
        <v>47.400369157865583</v>
      </c>
      <c r="H23" s="256">
        <f t="shared" si="0"/>
        <v>43.132287943135154</v>
      </c>
      <c r="I23" s="257">
        <f t="shared" si="0"/>
        <v>38.808777102239397</v>
      </c>
      <c r="J23" s="235"/>
      <c r="K23" s="144"/>
      <c r="L23" s="143"/>
      <c r="M23" s="143"/>
    </row>
    <row r="24" spans="1:14" ht="26.25">
      <c r="A24" s="272" t="str">
        <f t="shared" si="1"/>
        <v>Flow Temperatures that will deliver the required heat to your home with 8 m^2 of radiator surface</v>
      </c>
      <c r="B24" s="239">
        <v>18</v>
      </c>
      <c r="C24" s="146"/>
      <c r="D24" s="264">
        <v>8</v>
      </c>
      <c r="E24" s="255" t="str">
        <f t="shared" si="0"/>
        <v>Not Possible</v>
      </c>
      <c r="F24" s="256" t="str">
        <f t="shared" si="0"/>
        <v>Not Possible</v>
      </c>
      <c r="G24" s="256">
        <f t="shared" si="0"/>
        <v>44.975323013132382</v>
      </c>
      <c r="H24" s="256">
        <f t="shared" si="0"/>
        <v>41.240751950243258</v>
      </c>
      <c r="I24" s="257">
        <f t="shared" si="0"/>
        <v>37.457679964459473</v>
      </c>
      <c r="J24" s="143"/>
      <c r="K24" s="148"/>
      <c r="L24" s="236"/>
      <c r="M24" s="152"/>
    </row>
    <row r="25" spans="1:14" ht="26.25">
      <c r="A25" s="272" t="str">
        <f t="shared" si="1"/>
        <v>Flow Temperatures that will deliver the required heat to your home with 9 m^2 of radiator surface</v>
      </c>
      <c r="B25" s="239">
        <v>19</v>
      </c>
      <c r="C25" s="143"/>
      <c r="D25" s="264">
        <v>9</v>
      </c>
      <c r="E25" s="255" t="str">
        <f t="shared" si="0"/>
        <v>Not Possible</v>
      </c>
      <c r="F25" s="256">
        <f t="shared" si="0"/>
        <v>48.292340153629517</v>
      </c>
      <c r="G25" s="256">
        <f t="shared" si="0"/>
        <v>43.089176011673231</v>
      </c>
      <c r="H25" s="256">
        <f t="shared" si="0"/>
        <v>39.769557289105123</v>
      </c>
      <c r="I25" s="257">
        <f t="shared" si="0"/>
        <v>36.406826635075085</v>
      </c>
      <c r="J25" s="151"/>
      <c r="K25" s="143"/>
      <c r="L25" s="143"/>
      <c r="M25" s="143"/>
      <c r="N25" s="127"/>
    </row>
    <row r="26" spans="1:14" ht="27" thickBot="1">
      <c r="A26" s="271"/>
      <c r="B26" s="239">
        <v>20</v>
      </c>
      <c r="C26" s="146"/>
      <c r="D26" s="265">
        <v>10</v>
      </c>
      <c r="E26" s="258" t="str">
        <f t="shared" si="0"/>
        <v>Not Possible</v>
      </c>
      <c r="F26" s="259">
        <f t="shared" si="0"/>
        <v>46.263106138266565</v>
      </c>
      <c r="G26" s="259">
        <f t="shared" si="0"/>
        <v>41.580258410505905</v>
      </c>
      <c r="H26" s="259">
        <f t="shared" si="0"/>
        <v>38.592601560194609</v>
      </c>
      <c r="I26" s="260">
        <f t="shared" si="0"/>
        <v>35.566143971567577</v>
      </c>
      <c r="J26" s="143"/>
      <c r="K26" s="154"/>
      <c r="L26" s="154"/>
      <c r="M26" s="154"/>
    </row>
    <row r="27" spans="1:14" ht="26.25">
      <c r="A27" s="262"/>
      <c r="B27" s="239"/>
      <c r="C27" s="146"/>
      <c r="D27" s="154"/>
      <c r="E27" s="256"/>
      <c r="F27" s="256"/>
      <c r="G27" s="256"/>
      <c r="H27" s="256"/>
      <c r="I27" s="256"/>
      <c r="J27" s="237"/>
      <c r="K27" s="154"/>
      <c r="L27" s="154"/>
      <c r="M27" s="154"/>
    </row>
    <row r="28" spans="1:14" ht="26.25">
      <c r="A28" s="262"/>
      <c r="B28" s="239"/>
      <c r="C28" s="146"/>
      <c r="D28" s="154"/>
      <c r="E28" s="256"/>
      <c r="F28" s="256"/>
      <c r="G28" s="256"/>
      <c r="H28" s="256"/>
      <c r="I28" s="256"/>
      <c r="J28" s="237"/>
      <c r="K28" s="154"/>
      <c r="L28" s="154"/>
      <c r="M28" s="154"/>
    </row>
    <row r="29" spans="1:14" ht="26.25">
      <c r="A29" s="262"/>
      <c r="B29" s="239"/>
      <c r="C29" s="146"/>
      <c r="D29" s="154"/>
      <c r="E29" s="256"/>
      <c r="F29" s="256"/>
      <c r="G29" s="256"/>
      <c r="H29" s="256"/>
      <c r="I29" s="256"/>
      <c r="J29" s="237"/>
      <c r="K29" s="154"/>
      <c r="L29" s="154"/>
      <c r="M29" s="154"/>
    </row>
    <row r="30" spans="1:14" ht="26.25">
      <c r="A30" s="262"/>
      <c r="B30" s="239"/>
      <c r="C30" s="146"/>
      <c r="D30" s="154"/>
      <c r="E30" s="256"/>
      <c r="F30" s="256"/>
      <c r="G30" s="256"/>
      <c r="H30" s="256"/>
      <c r="I30" s="256"/>
      <c r="J30" s="237"/>
      <c r="K30" s="154"/>
      <c r="L30" s="154"/>
      <c r="M30" s="154"/>
    </row>
    <row r="31" spans="1:14" ht="26.25">
      <c r="A31" s="262"/>
      <c r="B31" s="239"/>
      <c r="C31" s="141"/>
      <c r="D31" s="154"/>
      <c r="E31" s="256"/>
      <c r="F31" s="256"/>
      <c r="G31" s="256"/>
      <c r="H31" s="256"/>
      <c r="I31" s="256"/>
      <c r="J31" s="237"/>
      <c r="K31" s="154"/>
      <c r="L31" s="154"/>
      <c r="M31" s="154"/>
    </row>
    <row r="32" spans="1:14" ht="26.25">
      <c r="A32" s="262"/>
      <c r="B32" s="239"/>
      <c r="C32" s="140"/>
      <c r="D32" s="154"/>
      <c r="E32" s="256"/>
      <c r="F32" s="256"/>
      <c r="G32" s="256"/>
      <c r="H32" s="256"/>
      <c r="I32" s="256"/>
      <c r="J32" s="237"/>
      <c r="K32" s="154"/>
      <c r="L32" s="154"/>
      <c r="M32" s="154"/>
    </row>
    <row r="33" spans="1:13" ht="26.25">
      <c r="A33" s="262"/>
      <c r="B33" s="239"/>
      <c r="C33" s="140"/>
      <c r="D33" s="154"/>
      <c r="E33" s="256"/>
      <c r="F33" s="256"/>
      <c r="G33" s="256"/>
      <c r="H33" s="256"/>
      <c r="I33" s="256"/>
      <c r="J33" s="237"/>
      <c r="K33" s="154"/>
      <c r="L33" s="154"/>
      <c r="M33" s="154"/>
    </row>
    <row r="34" spans="1:13" ht="26.25">
      <c r="A34" s="262"/>
      <c r="B34" s="239"/>
      <c r="C34" s="140"/>
      <c r="D34" s="154"/>
      <c r="E34" s="256"/>
      <c r="F34" s="256"/>
      <c r="G34" s="256"/>
      <c r="H34" s="256"/>
      <c r="I34" s="256"/>
      <c r="J34" s="237"/>
      <c r="K34" s="154"/>
      <c r="L34" s="154"/>
      <c r="M34" s="154"/>
    </row>
    <row r="35" spans="1:13" ht="26.25">
      <c r="A35" s="262"/>
      <c r="B35" s="239"/>
      <c r="C35" s="140"/>
      <c r="D35" s="154"/>
      <c r="E35" s="256"/>
      <c r="F35" s="256"/>
      <c r="G35" s="256"/>
      <c r="H35" s="256"/>
      <c r="I35" s="256"/>
      <c r="J35" s="237"/>
      <c r="K35" s="154"/>
      <c r="L35" s="154"/>
      <c r="M35" s="154"/>
    </row>
    <row r="36" spans="1:13" ht="26.25">
      <c r="A36" s="262"/>
      <c r="B36" s="239"/>
      <c r="C36" s="146"/>
      <c r="D36" s="154"/>
      <c r="E36" s="256"/>
      <c r="F36" s="256"/>
      <c r="G36" s="256"/>
      <c r="H36" s="256"/>
      <c r="I36" s="256"/>
      <c r="J36" s="237"/>
      <c r="K36" s="154"/>
      <c r="L36" s="154"/>
      <c r="M36" s="154"/>
    </row>
    <row r="37" spans="1:13" ht="26.25">
      <c r="B37" s="28"/>
      <c r="C37" s="146"/>
      <c r="D37" s="146"/>
      <c r="E37" s="146"/>
      <c r="F37" s="154"/>
      <c r="G37" s="149"/>
      <c r="H37" s="149"/>
      <c r="I37" s="146"/>
      <c r="J37" s="237"/>
      <c r="K37" s="154"/>
      <c r="L37" s="154"/>
      <c r="M37" s="154"/>
    </row>
    <row r="38" spans="1:13" ht="23.25">
      <c r="C38" s="146"/>
      <c r="D38" s="146"/>
      <c r="E38" s="146"/>
      <c r="F38" s="154"/>
      <c r="G38" s="149"/>
      <c r="H38" s="149"/>
      <c r="I38" s="146"/>
      <c r="J38" s="237"/>
      <c r="K38" s="154"/>
      <c r="L38" s="154"/>
      <c r="M38" s="154"/>
    </row>
    <row r="39" spans="1:13" ht="23.25">
      <c r="C39" s="146"/>
      <c r="D39" s="146"/>
      <c r="E39" s="146"/>
      <c r="F39" s="154"/>
      <c r="G39" s="149"/>
      <c r="H39" s="149"/>
      <c r="I39" s="146"/>
      <c r="J39" s="237"/>
      <c r="K39" s="154"/>
      <c r="L39" s="154"/>
      <c r="M39" s="154"/>
    </row>
    <row r="40" spans="1:13" ht="23.25">
      <c r="C40" s="146"/>
      <c r="D40" s="146"/>
      <c r="E40" s="146"/>
      <c r="F40" s="154"/>
      <c r="G40" s="149"/>
      <c r="H40" s="149"/>
      <c r="I40" s="146"/>
      <c r="J40" s="237"/>
      <c r="K40" s="154"/>
      <c r="L40" s="154"/>
      <c r="M40" s="154"/>
    </row>
    <row r="41" spans="1:13" ht="23.25">
      <c r="C41" s="148"/>
      <c r="D41" s="146"/>
      <c r="E41" s="146"/>
      <c r="F41" s="154"/>
      <c r="G41" s="149"/>
      <c r="H41" s="149"/>
      <c r="I41" s="146"/>
      <c r="J41" s="237"/>
      <c r="K41" s="154"/>
      <c r="L41" s="154"/>
      <c r="M41" s="154"/>
    </row>
    <row r="42" spans="1:13" ht="23.25">
      <c r="C42" s="148"/>
      <c r="D42" s="148"/>
      <c r="E42" s="148"/>
      <c r="F42" s="148"/>
      <c r="G42" s="148"/>
      <c r="H42" s="148"/>
      <c r="I42" s="146"/>
      <c r="J42" s="148"/>
      <c r="K42" s="148"/>
      <c r="L42" s="148"/>
      <c r="M42" s="148"/>
    </row>
    <row r="43" spans="1:13" ht="23.25">
      <c r="C43" s="148"/>
      <c r="D43" s="148"/>
      <c r="E43" s="148"/>
      <c r="F43" s="148"/>
      <c r="G43" s="148"/>
      <c r="H43" s="148"/>
      <c r="I43" s="146"/>
      <c r="J43" s="148"/>
      <c r="K43" s="148"/>
      <c r="L43" s="148"/>
      <c r="M43" s="148"/>
    </row>
    <row r="44" spans="1:13" ht="23.25">
      <c r="C44" s="148"/>
      <c r="D44" s="148"/>
      <c r="E44" s="148"/>
      <c r="F44" s="148"/>
      <c r="G44" s="148"/>
      <c r="H44" s="148"/>
      <c r="I44" s="146"/>
      <c r="J44" s="148"/>
      <c r="K44" s="148"/>
      <c r="L44" s="148"/>
      <c r="M44" s="148"/>
    </row>
    <row r="45" spans="1:13" ht="23.25">
      <c r="C45" s="148"/>
      <c r="D45" s="148"/>
      <c r="E45" s="148"/>
      <c r="F45" s="148"/>
      <c r="G45" s="148"/>
      <c r="H45" s="148"/>
      <c r="I45" s="146"/>
      <c r="J45" s="148"/>
      <c r="K45" s="148"/>
      <c r="L45" s="148"/>
      <c r="M45" s="148"/>
    </row>
    <row r="50" spans="1:19">
      <c r="S50" s="122" t="s">
        <v>270</v>
      </c>
    </row>
    <row r="55" spans="1:19" s="128" customFormat="1">
      <c r="I55" s="238"/>
    </row>
    <row r="57" spans="1:19">
      <c r="A57" s="130" t="s">
        <v>271</v>
      </c>
      <c r="B57" s="129" t="s">
        <v>272</v>
      </c>
      <c r="C57" s="129" t="s">
        <v>67</v>
      </c>
      <c r="D57" s="129" t="s">
        <v>273</v>
      </c>
      <c r="E57" s="129" t="s">
        <v>274</v>
      </c>
      <c r="F57" s="129" t="s">
        <v>19</v>
      </c>
      <c r="G57" s="129" t="s">
        <v>259</v>
      </c>
    </row>
    <row r="58" spans="1:19">
      <c r="A58" s="131">
        <v>60</v>
      </c>
      <c r="B58" s="131">
        <v>40</v>
      </c>
      <c r="C58" s="131">
        <f>AVERAGE(A58:B58)</f>
        <v>50</v>
      </c>
      <c r="D58" s="131">
        <v>20</v>
      </c>
      <c r="E58" s="131">
        <f>C58-D58</f>
        <v>30</v>
      </c>
      <c r="F58" s="131">
        <v>260</v>
      </c>
      <c r="G58" s="126" t="e">
        <f>F58/(#REF!*E58)</f>
        <v>#REF!</v>
      </c>
      <c r="H58" s="132" t="e">
        <f>G58/MAX($G$58:$G$62)</f>
        <v>#REF!</v>
      </c>
    </row>
    <row r="59" spans="1:19">
      <c r="A59" s="131">
        <v>60</v>
      </c>
      <c r="B59" s="131">
        <v>40</v>
      </c>
      <c r="C59" s="131">
        <f>AVERAGE(A59:B59)</f>
        <v>50</v>
      </c>
      <c r="D59" s="131">
        <v>20</v>
      </c>
      <c r="E59" s="131">
        <f>C59-D59</f>
        <v>30</v>
      </c>
      <c r="F59" s="131">
        <v>428</v>
      </c>
      <c r="G59" s="126" t="e">
        <f>F59/(#REF!*E59)</f>
        <v>#REF!</v>
      </c>
      <c r="H59" s="132" t="e">
        <f>G59/MAX($G$58:$G$62)</f>
        <v>#REF!</v>
      </c>
    </row>
    <row r="60" spans="1:19">
      <c r="A60" s="131">
        <v>60</v>
      </c>
      <c r="B60" s="131">
        <v>40</v>
      </c>
      <c r="C60" s="131">
        <f>AVERAGE(A60:B60)</f>
        <v>50</v>
      </c>
      <c r="D60" s="131">
        <v>20</v>
      </c>
      <c r="E60" s="131">
        <f>C60-D60</f>
        <v>30</v>
      </c>
      <c r="F60" s="131">
        <v>583</v>
      </c>
      <c r="G60" s="126" t="e">
        <f>F60/(#REF!*E60)</f>
        <v>#REF!</v>
      </c>
      <c r="H60" s="132" t="e">
        <f>G60/MAX($G$58:$G$62)</f>
        <v>#REF!</v>
      </c>
    </row>
    <row r="61" spans="1:19">
      <c r="A61" s="131">
        <v>60</v>
      </c>
      <c r="B61" s="131">
        <v>40</v>
      </c>
      <c r="C61" s="131">
        <f>AVERAGE(A61:B61)</f>
        <v>50</v>
      </c>
      <c r="D61" s="131">
        <v>20</v>
      </c>
      <c r="E61" s="131">
        <f>C61-D61</f>
        <v>30</v>
      </c>
      <c r="F61" s="131">
        <v>757</v>
      </c>
      <c r="G61" s="126" t="e">
        <f>F61/(#REF!*E61)</f>
        <v>#REF!</v>
      </c>
      <c r="H61" s="132" t="e">
        <f>G61/MAX($G$58:$G$62)</f>
        <v>#REF!</v>
      </c>
    </row>
    <row r="62" spans="1:19">
      <c r="A62" s="131">
        <v>60</v>
      </c>
      <c r="B62" s="131">
        <v>40</v>
      </c>
      <c r="C62" s="131">
        <f>AVERAGE(A62:B62)</f>
        <v>50</v>
      </c>
      <c r="D62" s="131">
        <v>20</v>
      </c>
      <c r="E62" s="131">
        <f>C62-D62</f>
        <v>30</v>
      </c>
      <c r="F62" s="131">
        <v>1047</v>
      </c>
      <c r="G62" s="126" t="e">
        <f>F62/(#REF!*E62)</f>
        <v>#REF!</v>
      </c>
      <c r="H62" s="132" t="e">
        <f>G62/MAX($G$58:$G$62)</f>
        <v>#REF!</v>
      </c>
    </row>
    <row r="63" spans="1:19">
      <c r="A63" s="131"/>
      <c r="B63" s="131"/>
      <c r="C63" s="131"/>
      <c r="D63" s="131"/>
      <c r="E63" s="131"/>
      <c r="F63" s="131"/>
      <c r="G63" s="126"/>
      <c r="H63" s="132"/>
    </row>
    <row r="65" spans="1:11">
      <c r="H65" s="122" t="s">
        <v>275</v>
      </c>
    </row>
    <row r="66" spans="1:11">
      <c r="H66" s="122">
        <f>INTERCEPT($F$72:$F$78,$H$72:$H$78)</f>
        <v>-0.45714285714285724</v>
      </c>
      <c r="J66" s="122" t="s">
        <v>276</v>
      </c>
    </row>
    <row r="67" spans="1:11">
      <c r="H67" s="122" t="s">
        <v>59</v>
      </c>
    </row>
    <row r="68" spans="1:11">
      <c r="G68" s="123" t="s">
        <v>277</v>
      </c>
      <c r="H68" s="133">
        <f>SLOPE($F$72:$F$78,$H$72:$H$78)</f>
        <v>1.9414285714285717E-2</v>
      </c>
    </row>
    <row r="69" spans="1:11">
      <c r="G69" s="123">
        <v>20</v>
      </c>
    </row>
    <row r="71" spans="1:11" ht="37.5">
      <c r="A71" s="128"/>
      <c r="B71" s="128"/>
      <c r="C71" s="128"/>
      <c r="D71" s="128"/>
      <c r="F71" s="128" t="s">
        <v>278</v>
      </c>
      <c r="G71" s="128" t="s">
        <v>279</v>
      </c>
      <c r="H71" s="128" t="s">
        <v>280</v>
      </c>
      <c r="I71" s="238" t="s">
        <v>281</v>
      </c>
      <c r="J71" s="134"/>
      <c r="K71" s="128"/>
    </row>
    <row r="72" spans="1:11">
      <c r="F72" s="135">
        <v>0.05</v>
      </c>
      <c r="G72" s="123">
        <f t="shared" ref="G72:G86" si="2">E74+$G$69</f>
        <v>25</v>
      </c>
      <c r="H72" s="123">
        <f t="shared" ref="H72:H78" si="3">G72</f>
        <v>25</v>
      </c>
      <c r="I72" s="136">
        <f t="shared" ref="I72:I78" si="4">$H$66+$H$68*G72</f>
        <v>2.8214285714285692E-2</v>
      </c>
      <c r="J72" s="137">
        <f t="shared" ref="J72:J78" si="5">I72/F72-1</f>
        <v>-0.43571428571428616</v>
      </c>
    </row>
    <row r="73" spans="1:11">
      <c r="E73" s="128" t="s">
        <v>274</v>
      </c>
      <c r="F73" s="135">
        <v>0.123</v>
      </c>
      <c r="G73" s="123">
        <f t="shared" si="2"/>
        <v>30</v>
      </c>
      <c r="H73" s="123">
        <f t="shared" si="3"/>
        <v>30</v>
      </c>
      <c r="I73" s="136">
        <f t="shared" si="4"/>
        <v>0.12528571428571428</v>
      </c>
      <c r="J73" s="137">
        <f t="shared" si="5"/>
        <v>1.8583042973286723E-2</v>
      </c>
    </row>
    <row r="74" spans="1:11">
      <c r="E74" s="123" cm="1">
        <f t="array" ref="E74:E88">_xlfn.SEQUENCE(15,1,5,5)</f>
        <v>5</v>
      </c>
      <c r="F74" s="135">
        <v>0.20899999999999999</v>
      </c>
      <c r="G74" s="123">
        <f t="shared" si="2"/>
        <v>35</v>
      </c>
      <c r="H74" s="123">
        <f t="shared" si="3"/>
        <v>35</v>
      </c>
      <c r="I74" s="136">
        <f t="shared" si="4"/>
        <v>0.22235714285714286</v>
      </c>
      <c r="J74" s="137">
        <f t="shared" si="5"/>
        <v>6.3909774436090361E-2</v>
      </c>
    </row>
    <row r="75" spans="1:11">
      <c r="E75" s="123">
        <v>10</v>
      </c>
      <c r="F75" s="135">
        <v>0.30399999999999999</v>
      </c>
      <c r="G75" s="123">
        <f t="shared" si="2"/>
        <v>40</v>
      </c>
      <c r="H75" s="123">
        <f t="shared" si="3"/>
        <v>40</v>
      </c>
      <c r="I75" s="136">
        <f t="shared" si="4"/>
        <v>0.31942857142857145</v>
      </c>
      <c r="J75" s="137">
        <f t="shared" si="5"/>
        <v>5.0751879699248326E-2</v>
      </c>
    </row>
    <row r="76" spans="1:11">
      <c r="E76" s="123">
        <v>15</v>
      </c>
      <c r="F76" s="135">
        <v>0.40600000000000003</v>
      </c>
      <c r="G76" s="123">
        <f t="shared" si="2"/>
        <v>45</v>
      </c>
      <c r="H76" s="123">
        <f t="shared" si="3"/>
        <v>45</v>
      </c>
      <c r="I76" s="136">
        <f t="shared" si="4"/>
        <v>0.41650000000000004</v>
      </c>
      <c r="J76" s="137">
        <f t="shared" si="5"/>
        <v>2.5862068965517349E-2</v>
      </c>
    </row>
    <row r="77" spans="1:11">
      <c r="E77" s="123">
        <v>20</v>
      </c>
      <c r="F77" s="135">
        <v>0.51500000000000001</v>
      </c>
      <c r="G77" s="123">
        <f t="shared" si="2"/>
        <v>50</v>
      </c>
      <c r="H77" s="123">
        <f t="shared" si="3"/>
        <v>50</v>
      </c>
      <c r="I77" s="136">
        <f t="shared" si="4"/>
        <v>0.51357142857142857</v>
      </c>
      <c r="J77" s="137">
        <f t="shared" si="5"/>
        <v>-2.7739251040221902E-3</v>
      </c>
    </row>
    <row r="78" spans="1:11">
      <c r="E78" s="123">
        <v>25</v>
      </c>
      <c r="F78" s="135">
        <v>0.629</v>
      </c>
      <c r="G78" s="123">
        <f t="shared" si="2"/>
        <v>55</v>
      </c>
      <c r="H78" s="123">
        <f t="shared" si="3"/>
        <v>55</v>
      </c>
      <c r="I78" s="136">
        <f t="shared" si="4"/>
        <v>0.61064285714285704</v>
      </c>
      <c r="J78" s="137">
        <f t="shared" si="5"/>
        <v>-2.9184646831705852E-2</v>
      </c>
    </row>
    <row r="79" spans="1:11">
      <c r="E79" s="123">
        <v>30</v>
      </c>
      <c r="F79" s="135">
        <v>0.748</v>
      </c>
      <c r="G79" s="123">
        <f t="shared" si="2"/>
        <v>60</v>
      </c>
    </row>
    <row r="80" spans="1:11">
      <c r="E80" s="123">
        <v>35</v>
      </c>
      <c r="F80" s="135">
        <v>0.872</v>
      </c>
      <c r="G80" s="123">
        <f t="shared" si="2"/>
        <v>65</v>
      </c>
    </row>
    <row r="81" spans="5:7">
      <c r="E81" s="123">
        <v>40</v>
      </c>
      <c r="F81" s="135">
        <v>1</v>
      </c>
      <c r="G81" s="123">
        <f t="shared" si="2"/>
        <v>70</v>
      </c>
    </row>
    <row r="82" spans="5:7">
      <c r="E82" s="123">
        <v>45</v>
      </c>
      <c r="F82" s="135">
        <v>1.1319999999999999</v>
      </c>
      <c r="G82" s="123">
        <f t="shared" si="2"/>
        <v>75</v>
      </c>
    </row>
    <row r="83" spans="5:7">
      <c r="E83" s="123">
        <v>50</v>
      </c>
      <c r="F83" s="135">
        <v>1.2669999999999999</v>
      </c>
      <c r="G83" s="123">
        <f t="shared" si="2"/>
        <v>80</v>
      </c>
    </row>
    <row r="84" spans="5:7">
      <c r="E84" s="123">
        <v>55</v>
      </c>
      <c r="F84" s="135">
        <v>1.4059999999999999</v>
      </c>
      <c r="G84" s="123">
        <f t="shared" si="2"/>
        <v>85</v>
      </c>
    </row>
    <row r="85" spans="5:7">
      <c r="E85" s="123">
        <v>60</v>
      </c>
      <c r="F85" s="135">
        <v>1.5489999999999999</v>
      </c>
      <c r="G85" s="123">
        <f t="shared" si="2"/>
        <v>90</v>
      </c>
    </row>
    <row r="86" spans="5:7">
      <c r="E86" s="123">
        <v>65</v>
      </c>
      <c r="F86" s="135">
        <v>1.694</v>
      </c>
      <c r="G86" s="123">
        <f t="shared" si="2"/>
        <v>95</v>
      </c>
    </row>
    <row r="87" spans="5:7">
      <c r="E87" s="123">
        <v>70</v>
      </c>
    </row>
    <row r="88" spans="5:7">
      <c r="E88" s="123">
        <v>75</v>
      </c>
    </row>
  </sheetData>
  <conditionalFormatting sqref="L26:L41">
    <cfRule type="colorScale" priority="3">
      <colorScale>
        <cfvo type="num" val="45"/>
        <cfvo type="num" val="55"/>
        <cfvo type="num" val="70"/>
        <color rgb="FF00B050"/>
        <color rgb="FFFFC000"/>
        <color rgb="FFFF0000"/>
      </colorScale>
    </cfRule>
  </conditionalFormatting>
  <conditionalFormatting sqref="E17:I36">
    <cfRule type="colorScale" priority="2">
      <colorScale>
        <cfvo type="min"/>
        <cfvo type="percentile" val="50"/>
        <cfvo type="max"/>
        <color rgb="FF63BE7B"/>
        <color rgb="FFFFEB84"/>
        <color rgb="FFF8696B"/>
      </colorScale>
    </cfRule>
  </conditionalFormatting>
  <conditionalFormatting sqref="E13:I13">
    <cfRule type="colorScale" priority="1">
      <colorScale>
        <cfvo type="min"/>
        <cfvo type="percentile" val="50"/>
        <cfvo type="max"/>
        <color rgb="FF63BE7B"/>
        <color rgb="FFFFEB84"/>
        <color rgb="FFF8696B"/>
      </colorScale>
    </cfRule>
  </conditionalFormatting>
  <dataValidations count="2">
    <dataValidation type="whole" allowBlank="1" showInputMessage="1" showErrorMessage="1" sqref="D19" xr:uid="{200F914A-11F0-0645-A159-078E2BDB87E1}">
      <formula1>3</formula1>
      <formula2>15</formula2>
    </dataValidation>
    <dataValidation type="list" allowBlank="1" showInputMessage="1" showErrorMessage="1" sqref="E37:E41" xr:uid="{CBC5FA12-EA5B-FF4F-833A-8232996638BD}">
      <formula1>#REF!</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72B15-1E96-E84A-901F-A40CFADE5031}">
  <dimension ref="A1:W94"/>
  <sheetViews>
    <sheetView zoomScale="74" zoomScaleNormal="81" workbookViewId="0">
      <selection activeCell="N26" sqref="N26"/>
    </sheetView>
  </sheetViews>
  <sheetFormatPr baseColWidth="10" defaultColWidth="10.875" defaultRowHeight="18.75"/>
  <cols>
    <col min="1" max="1" width="139.5" style="122" customWidth="1"/>
    <col min="2" max="2" width="7.375" style="122" customWidth="1"/>
    <col min="3" max="3" width="9.375" style="122" customWidth="1"/>
    <col min="4" max="4" width="21" style="122" customWidth="1"/>
    <col min="5" max="5" width="14.375" style="122" customWidth="1"/>
    <col min="6" max="6" width="17.625" style="122" customWidth="1"/>
    <col min="7" max="7" width="15.375" style="122" customWidth="1"/>
    <col min="8" max="9" width="14.375" style="122" customWidth="1"/>
    <col min="10" max="10" width="14" style="122" customWidth="1"/>
    <col min="11" max="11" width="19.125" style="122" customWidth="1"/>
    <col min="12" max="12" width="18.625" style="122" customWidth="1"/>
    <col min="13" max="13" width="17.125" style="122" customWidth="1"/>
    <col min="14" max="14" width="10.875" style="122"/>
    <col min="15" max="15" width="19.5" style="122" customWidth="1"/>
    <col min="16" max="16384" width="10.875" style="122"/>
  </cols>
  <sheetData>
    <row r="1" spans="1:23" s="1" customFormat="1" ht="61.5">
      <c r="A1" s="119" t="s">
        <v>293</v>
      </c>
      <c r="B1" s="138"/>
      <c r="C1" s="138"/>
      <c r="D1" s="138"/>
      <c r="E1" s="138"/>
      <c r="F1" s="138"/>
      <c r="G1" s="138"/>
    </row>
    <row r="2" spans="1:23" s="91" customFormat="1" ht="31.5">
      <c r="A2" s="91" t="s">
        <v>143</v>
      </c>
      <c r="B2" s="139"/>
      <c r="C2" s="139"/>
      <c r="D2" s="139"/>
      <c r="E2" s="139"/>
      <c r="F2" s="139"/>
      <c r="G2" s="139"/>
    </row>
    <row r="3" spans="1:23" s="91" customFormat="1" ht="32.25" thickBot="1">
      <c r="A3" s="91" t="s">
        <v>144</v>
      </c>
      <c r="B3" s="139"/>
      <c r="C3" s="139"/>
      <c r="D3" s="139"/>
      <c r="E3" s="139"/>
      <c r="F3" s="139"/>
      <c r="G3" s="139"/>
    </row>
    <row r="4" spans="1:23" s="199" customFormat="1" ht="32.25" thickBot="1">
      <c r="B4" s="200"/>
      <c r="C4" s="200"/>
      <c r="D4" s="200"/>
      <c r="E4" s="200"/>
      <c r="F4" s="200"/>
      <c r="G4" s="200"/>
      <c r="I4" s="246" t="s">
        <v>230</v>
      </c>
      <c r="J4" s="150">
        <f>'4. RADIATORS'!E9</f>
        <v>10</v>
      </c>
      <c r="K4" s="251" t="s">
        <v>5</v>
      </c>
    </row>
    <row r="5" spans="1:23" s="199" customFormat="1" ht="32.25" thickBot="1">
      <c r="B5" s="200"/>
      <c r="C5" s="200"/>
      <c r="D5" s="200"/>
      <c r="E5" s="200"/>
      <c r="F5" s="200"/>
      <c r="G5" s="200"/>
      <c r="I5" s="142" t="s">
        <v>287</v>
      </c>
      <c r="J5" s="150">
        <f>'4. RADIATORS'!E10</f>
        <v>50</v>
      </c>
      <c r="K5" s="251" t="s">
        <v>5</v>
      </c>
    </row>
    <row r="6" spans="1:23" s="199" customFormat="1" ht="32.25" thickBot="1">
      <c r="B6" s="200"/>
      <c r="C6" s="200"/>
      <c r="D6" s="200"/>
      <c r="E6" s="200"/>
      <c r="F6" s="200"/>
      <c r="G6" s="200"/>
      <c r="I6" s="246" t="s">
        <v>264</v>
      </c>
      <c r="J6" s="150">
        <f>'4. RADIATORS'!E7</f>
        <v>23</v>
      </c>
      <c r="K6" s="251" t="s">
        <v>5</v>
      </c>
    </row>
    <row r="7" spans="1:23" s="199" customFormat="1" ht="32.25" thickBot="1">
      <c r="B7" s="200"/>
      <c r="C7" s="200"/>
      <c r="D7" s="200"/>
      <c r="E7" s="200"/>
      <c r="F7" s="200"/>
      <c r="G7" s="200"/>
      <c r="H7" s="247"/>
      <c r="I7" s="248" t="s">
        <v>290</v>
      </c>
      <c r="J7" s="201">
        <f>'4. RADIATORS'!E8</f>
        <v>5296.3007800973037</v>
      </c>
      <c r="K7" s="251" t="s">
        <v>266</v>
      </c>
    </row>
    <row r="8" spans="1:23" s="199" customFormat="1" ht="32.25" thickBot="1">
      <c r="B8" s="200"/>
      <c r="C8" s="200"/>
      <c r="D8" s="200"/>
      <c r="E8" s="200"/>
      <c r="F8" s="200"/>
      <c r="G8" s="200"/>
      <c r="H8" s="249"/>
      <c r="I8" s="248" t="s">
        <v>291</v>
      </c>
      <c r="J8" s="250">
        <f>SUM(J$13:J$27)</f>
        <v>5617.92</v>
      </c>
      <c r="K8" s="251"/>
    </row>
    <row r="9" spans="1:23" ht="32.1" customHeight="1" thickBot="1">
      <c r="H9" s="249"/>
      <c r="I9" s="248" t="s">
        <v>292</v>
      </c>
      <c r="J9" s="261">
        <f>J8/J7</f>
        <v>1.0607252558448517</v>
      </c>
      <c r="K9" s="251" t="s">
        <v>289</v>
      </c>
    </row>
    <row r="10" spans="1:23" ht="71.25" thickBot="1">
      <c r="A10" s="7" t="s">
        <v>0</v>
      </c>
      <c r="B10" s="7" t="s">
        <v>1</v>
      </c>
      <c r="C10" s="142"/>
      <c r="D10" s="143" t="s">
        <v>145</v>
      </c>
      <c r="E10" s="144"/>
      <c r="H10" s="145"/>
      <c r="I10" s="143" t="s">
        <v>135</v>
      </c>
      <c r="K10" s="144"/>
      <c r="M10" s="143"/>
      <c r="O10" s="143"/>
    </row>
    <row r="11" spans="1:23" ht="27" thickBot="1">
      <c r="A11" s="267" t="s">
        <v>147</v>
      </c>
      <c r="B11" s="10">
        <v>1</v>
      </c>
      <c r="C11" s="146"/>
      <c r="D11" s="147">
        <v>9</v>
      </c>
      <c r="E11" s="148"/>
      <c r="H11" s="149"/>
      <c r="I11" s="150">
        <f>SUM(I13:I27)</f>
        <v>4.92</v>
      </c>
      <c r="M11" s="152"/>
    </row>
    <row r="12" spans="1:23" ht="71.25" thickBot="1">
      <c r="A12" s="269"/>
      <c r="B12" s="10">
        <v>2</v>
      </c>
      <c r="C12" s="143" t="s">
        <v>148</v>
      </c>
      <c r="D12" s="153" t="s">
        <v>146</v>
      </c>
      <c r="E12" s="143" t="s">
        <v>136</v>
      </c>
      <c r="F12" s="143" t="s">
        <v>137</v>
      </c>
      <c r="G12" s="143" t="s">
        <v>138</v>
      </c>
      <c r="H12" s="143" t="s">
        <v>139</v>
      </c>
      <c r="I12" s="143" t="s">
        <v>140</v>
      </c>
      <c r="J12" s="143" t="s">
        <v>288</v>
      </c>
      <c r="K12" s="143"/>
      <c r="L12" s="143"/>
      <c r="M12" s="143"/>
    </row>
    <row r="13" spans="1:23" ht="27" thickBot="1">
      <c r="A13" s="270" t="s">
        <v>149</v>
      </c>
      <c r="B13" s="10">
        <v>3</v>
      </c>
      <c r="C13" s="146" cm="1">
        <f t="array" ref="C13:C21">_xlfn.SEQUENCE(D11,1,1,1)</f>
        <v>1</v>
      </c>
      <c r="D13" s="146" t="str">
        <f t="shared" ref="D13:D28" si="0">IF(C13&lt;&gt;"","Radiator "&amp;C13,"")</f>
        <v>Radiator 1</v>
      </c>
      <c r="E13" s="155" t="s">
        <v>253</v>
      </c>
      <c r="F13" s="152">
        <f>IF(C13&lt;&gt;"",HLOOKUP(E13,$R$13:$V$14,2,FALSE),"")</f>
        <v>17</v>
      </c>
      <c r="G13" s="155">
        <f>IF(C13&lt;&gt;"",0.6,"")</f>
        <v>0.6</v>
      </c>
      <c r="H13" s="155">
        <v>0.8</v>
      </c>
      <c r="I13" s="146">
        <f t="shared" ref="I13:I27" si="1">IF($C13&lt;&gt;"",G13*H13,"")</f>
        <v>0.48</v>
      </c>
      <c r="J13" s="156">
        <f>IF($C13&lt;&gt;"",I13*($J$5-$J$4/2-$J$6)*F13,"")</f>
        <v>179.51999999999998</v>
      </c>
      <c r="K13" s="154"/>
      <c r="L13" s="154"/>
      <c r="M13" s="154"/>
      <c r="Q13" s="205" t="s">
        <v>252</v>
      </c>
      <c r="R13" s="208" t="s">
        <v>253</v>
      </c>
      <c r="S13" s="208" t="s">
        <v>254</v>
      </c>
      <c r="T13" s="208" t="s">
        <v>255</v>
      </c>
      <c r="U13" s="208" t="s">
        <v>256</v>
      </c>
      <c r="V13" s="208" t="s">
        <v>257</v>
      </c>
      <c r="W13" s="206"/>
    </row>
    <row r="14" spans="1:23" ht="27" thickBot="1">
      <c r="A14" s="270" t="s">
        <v>149</v>
      </c>
      <c r="B14" s="10">
        <v>4</v>
      </c>
      <c r="C14" s="146">
        <v>2</v>
      </c>
      <c r="D14" s="146" t="str">
        <f t="shared" si="0"/>
        <v>Radiator 2</v>
      </c>
      <c r="E14" s="155" t="s">
        <v>253</v>
      </c>
      <c r="F14" s="152">
        <f t="shared" ref="F14:F27" si="2">IF(C14&lt;&gt;"",HLOOKUP(E14,$R$13:$V$14,2,FALSE),"")</f>
        <v>17</v>
      </c>
      <c r="G14" s="155">
        <f t="shared" ref="G14:G27" si="3">IF(C14&lt;&gt;"",0.6,"")</f>
        <v>0.6</v>
      </c>
      <c r="H14" s="155">
        <v>1.2</v>
      </c>
      <c r="I14" s="146">
        <f t="shared" si="1"/>
        <v>0.72</v>
      </c>
      <c r="J14" s="156">
        <f t="shared" ref="J14:J27" si="4">IF($C14&lt;&gt;"",I14*($J$5-$J$4/2-$J$6)*F14,"")</f>
        <v>269.27999999999997</v>
      </c>
      <c r="K14" s="154"/>
      <c r="L14" s="154"/>
      <c r="M14" s="154"/>
      <c r="Q14" s="205" t="s">
        <v>258</v>
      </c>
      <c r="R14" s="209">
        <v>17</v>
      </c>
      <c r="S14" s="209">
        <v>29</v>
      </c>
      <c r="T14" s="209">
        <v>39</v>
      </c>
      <c r="U14" s="209">
        <v>50</v>
      </c>
      <c r="V14" s="209">
        <v>70</v>
      </c>
      <c r="W14" s="207" t="s">
        <v>259</v>
      </c>
    </row>
    <row r="15" spans="1:23" ht="27" thickBot="1">
      <c r="A15" s="270" t="s">
        <v>149</v>
      </c>
      <c r="B15" s="10">
        <v>5</v>
      </c>
      <c r="C15" s="146">
        <v>3</v>
      </c>
      <c r="D15" s="146" t="str">
        <f t="shared" si="0"/>
        <v>Radiator 3</v>
      </c>
      <c r="E15" s="155" t="s">
        <v>253</v>
      </c>
      <c r="F15" s="152">
        <f t="shared" si="2"/>
        <v>17</v>
      </c>
      <c r="G15" s="155">
        <f t="shared" si="3"/>
        <v>0.6</v>
      </c>
      <c r="H15" s="155">
        <f t="shared" ref="H15:H27" si="5">IF(C15&lt;&gt;"",0.8,"")</f>
        <v>0.8</v>
      </c>
      <c r="I15" s="146">
        <f t="shared" si="1"/>
        <v>0.48</v>
      </c>
      <c r="J15" s="156">
        <f t="shared" si="4"/>
        <v>179.51999999999998</v>
      </c>
      <c r="K15" s="154"/>
      <c r="L15" s="154"/>
      <c r="M15" s="154"/>
      <c r="S15" s="123"/>
      <c r="T15" s="125"/>
      <c r="U15" s="124"/>
      <c r="V15" s="125"/>
    </row>
    <row r="16" spans="1:23" ht="27" thickBot="1">
      <c r="A16" s="270" t="str">
        <f>IF(C16&lt;&gt;"",$A$13,"")</f>
        <v xml:space="preserve">Enter the type of radiator, its height and width. </v>
      </c>
      <c r="B16" s="10">
        <v>6</v>
      </c>
      <c r="C16" s="146">
        <v>4</v>
      </c>
      <c r="D16" s="146" t="str">
        <f t="shared" si="0"/>
        <v>Radiator 4</v>
      </c>
      <c r="E16" s="155" t="s">
        <v>257</v>
      </c>
      <c r="F16" s="152">
        <f t="shared" si="2"/>
        <v>70</v>
      </c>
      <c r="G16" s="155">
        <f t="shared" si="3"/>
        <v>0.6</v>
      </c>
      <c r="H16" s="155">
        <f t="shared" si="5"/>
        <v>0.8</v>
      </c>
      <c r="I16" s="146">
        <f t="shared" si="1"/>
        <v>0.48</v>
      </c>
      <c r="J16" s="156">
        <f t="shared" si="4"/>
        <v>739.19999999999993</v>
      </c>
      <c r="K16" s="154"/>
      <c r="L16" s="154"/>
      <c r="M16" s="154"/>
      <c r="S16" s="123"/>
      <c r="T16" s="123"/>
      <c r="U16" s="123"/>
      <c r="V16" s="123"/>
    </row>
    <row r="17" spans="1:14" ht="27" thickBot="1">
      <c r="A17" s="270" t="str">
        <f t="shared" ref="A17:A28" si="6">IF(C17&lt;&gt;"",$A$13,"")</f>
        <v xml:space="preserve">Enter the type of radiator, its height and width. </v>
      </c>
      <c r="B17" s="10">
        <v>7</v>
      </c>
      <c r="C17" s="146">
        <v>5</v>
      </c>
      <c r="D17" s="146" t="str">
        <f t="shared" si="0"/>
        <v>Radiator 5</v>
      </c>
      <c r="E17" s="155" t="s">
        <v>257</v>
      </c>
      <c r="F17" s="152">
        <f t="shared" si="2"/>
        <v>70</v>
      </c>
      <c r="G17" s="155">
        <f t="shared" si="3"/>
        <v>0.6</v>
      </c>
      <c r="H17" s="155">
        <f t="shared" si="5"/>
        <v>0.8</v>
      </c>
      <c r="I17" s="146">
        <f t="shared" si="1"/>
        <v>0.48</v>
      </c>
      <c r="J17" s="156">
        <f t="shared" si="4"/>
        <v>739.19999999999993</v>
      </c>
      <c r="K17" s="154"/>
      <c r="L17" s="154"/>
      <c r="M17" s="154"/>
    </row>
    <row r="18" spans="1:14" ht="27" thickBot="1">
      <c r="A18" s="270" t="str">
        <f t="shared" si="6"/>
        <v xml:space="preserve">Enter the type of radiator, its height and width. </v>
      </c>
      <c r="B18" s="10">
        <v>8</v>
      </c>
      <c r="C18" s="141">
        <v>6</v>
      </c>
      <c r="D18" s="146" t="str">
        <f t="shared" si="0"/>
        <v>Radiator 6</v>
      </c>
      <c r="E18" s="155" t="s">
        <v>257</v>
      </c>
      <c r="F18" s="152">
        <f t="shared" si="2"/>
        <v>70</v>
      </c>
      <c r="G18" s="155">
        <f t="shared" si="3"/>
        <v>0.6</v>
      </c>
      <c r="H18" s="155">
        <f t="shared" si="5"/>
        <v>0.8</v>
      </c>
      <c r="I18" s="146">
        <f t="shared" si="1"/>
        <v>0.48</v>
      </c>
      <c r="J18" s="156">
        <f t="shared" si="4"/>
        <v>739.19999999999993</v>
      </c>
      <c r="K18" s="154"/>
      <c r="L18" s="154"/>
      <c r="M18" s="154"/>
    </row>
    <row r="19" spans="1:14" ht="27" thickBot="1">
      <c r="A19" s="270" t="str">
        <f t="shared" si="6"/>
        <v xml:space="preserve">Enter the type of radiator, its height and width. </v>
      </c>
      <c r="B19" s="10">
        <v>9</v>
      </c>
      <c r="C19" s="140">
        <v>7</v>
      </c>
      <c r="D19" s="146" t="str">
        <f t="shared" si="0"/>
        <v>Radiator 7</v>
      </c>
      <c r="E19" s="155" t="s">
        <v>257</v>
      </c>
      <c r="F19" s="152">
        <f t="shared" si="2"/>
        <v>70</v>
      </c>
      <c r="G19" s="155">
        <f t="shared" si="3"/>
        <v>0.6</v>
      </c>
      <c r="H19" s="155">
        <v>1</v>
      </c>
      <c r="I19" s="146">
        <f t="shared" si="1"/>
        <v>0.6</v>
      </c>
      <c r="J19" s="156">
        <f t="shared" si="4"/>
        <v>924</v>
      </c>
      <c r="K19" s="154"/>
      <c r="L19" s="154"/>
      <c r="M19" s="154"/>
    </row>
    <row r="20" spans="1:14" ht="27" thickBot="1">
      <c r="A20" s="270" t="str">
        <f t="shared" si="6"/>
        <v xml:space="preserve">Enter the type of radiator, its height and width. </v>
      </c>
      <c r="B20" s="10">
        <v>10</v>
      </c>
      <c r="C20" s="140">
        <v>8</v>
      </c>
      <c r="D20" s="146" t="str">
        <f t="shared" si="0"/>
        <v>Radiator 8</v>
      </c>
      <c r="E20" s="155" t="s">
        <v>257</v>
      </c>
      <c r="F20" s="152">
        <f t="shared" si="2"/>
        <v>70</v>
      </c>
      <c r="G20" s="155">
        <f t="shared" si="3"/>
        <v>0.6</v>
      </c>
      <c r="H20" s="155">
        <v>1</v>
      </c>
      <c r="I20" s="146">
        <f t="shared" si="1"/>
        <v>0.6</v>
      </c>
      <c r="J20" s="156">
        <f t="shared" si="4"/>
        <v>924</v>
      </c>
      <c r="K20" s="154"/>
      <c r="L20" s="154"/>
      <c r="M20" s="154"/>
    </row>
    <row r="21" spans="1:14" ht="27" thickBot="1">
      <c r="A21" s="270" t="str">
        <f t="shared" si="6"/>
        <v xml:space="preserve">Enter the type of radiator, its height and width. </v>
      </c>
      <c r="B21" s="10">
        <v>11</v>
      </c>
      <c r="C21" s="140">
        <v>9</v>
      </c>
      <c r="D21" s="146" t="str">
        <f t="shared" si="0"/>
        <v>Radiator 9</v>
      </c>
      <c r="E21" s="155" t="s">
        <v>257</v>
      </c>
      <c r="F21" s="152">
        <f t="shared" si="2"/>
        <v>70</v>
      </c>
      <c r="G21" s="155">
        <f t="shared" si="3"/>
        <v>0.6</v>
      </c>
      <c r="H21" s="155">
        <v>1</v>
      </c>
      <c r="I21" s="146">
        <f t="shared" si="1"/>
        <v>0.6</v>
      </c>
      <c r="J21" s="156">
        <f t="shared" si="4"/>
        <v>924</v>
      </c>
      <c r="K21" s="154"/>
      <c r="L21" s="154"/>
      <c r="M21" s="154"/>
    </row>
    <row r="22" spans="1:14" ht="27" thickBot="1">
      <c r="A22" s="270" t="str">
        <f t="shared" si="6"/>
        <v/>
      </c>
      <c r="B22" s="10">
        <v>12</v>
      </c>
      <c r="C22" s="140"/>
      <c r="D22" s="146" t="str">
        <f t="shared" si="0"/>
        <v/>
      </c>
      <c r="E22" s="155" t="str">
        <f t="shared" ref="E22:E27" si="7">IF(C22&lt;&gt;"","Type 22","")</f>
        <v/>
      </c>
      <c r="F22" s="152" t="str">
        <f t="shared" si="2"/>
        <v/>
      </c>
      <c r="G22" s="155" t="str">
        <f t="shared" si="3"/>
        <v/>
      </c>
      <c r="H22" s="155" t="str">
        <f t="shared" si="5"/>
        <v/>
      </c>
      <c r="I22" s="146" t="str">
        <f t="shared" si="1"/>
        <v/>
      </c>
      <c r="J22" s="156" t="str">
        <f t="shared" si="4"/>
        <v/>
      </c>
      <c r="K22" s="154"/>
      <c r="L22" s="154"/>
      <c r="M22" s="154"/>
    </row>
    <row r="23" spans="1:14" ht="27" thickBot="1">
      <c r="A23" s="270" t="str">
        <f t="shared" si="6"/>
        <v/>
      </c>
      <c r="B23" s="10">
        <v>13</v>
      </c>
      <c r="C23" s="146"/>
      <c r="D23" s="146" t="str">
        <f t="shared" si="0"/>
        <v/>
      </c>
      <c r="E23" s="155" t="str">
        <f t="shared" si="7"/>
        <v/>
      </c>
      <c r="F23" s="152" t="str">
        <f t="shared" si="2"/>
        <v/>
      </c>
      <c r="G23" s="155" t="str">
        <f t="shared" si="3"/>
        <v/>
      </c>
      <c r="H23" s="155" t="str">
        <f t="shared" si="5"/>
        <v/>
      </c>
      <c r="I23" s="146" t="str">
        <f t="shared" si="1"/>
        <v/>
      </c>
      <c r="J23" s="156" t="str">
        <f t="shared" si="4"/>
        <v/>
      </c>
      <c r="K23" s="154"/>
      <c r="L23" s="154"/>
      <c r="M23" s="154" t="str">
        <f>IF(C23&lt;&gt;"",3600*$J23/(4200*$J$4),"")</f>
        <v/>
      </c>
    </row>
    <row r="24" spans="1:14" ht="27" thickBot="1">
      <c r="A24" s="270" t="str">
        <f t="shared" si="6"/>
        <v/>
      </c>
      <c r="B24" s="10">
        <v>14</v>
      </c>
      <c r="C24" s="146"/>
      <c r="D24" s="146" t="str">
        <f t="shared" si="0"/>
        <v/>
      </c>
      <c r="E24" s="155" t="str">
        <f t="shared" si="7"/>
        <v/>
      </c>
      <c r="F24" s="152" t="str">
        <f t="shared" si="2"/>
        <v/>
      </c>
      <c r="G24" s="155" t="str">
        <f t="shared" si="3"/>
        <v/>
      </c>
      <c r="H24" s="155" t="str">
        <f t="shared" si="5"/>
        <v/>
      </c>
      <c r="I24" s="146" t="str">
        <f t="shared" si="1"/>
        <v/>
      </c>
      <c r="J24" s="156" t="str">
        <f t="shared" si="4"/>
        <v/>
      </c>
      <c r="K24" s="154"/>
      <c r="L24" s="154"/>
      <c r="M24" s="154" t="str">
        <f>IF(C24&lt;&gt;"",3600*$J24/(4200*$J$4),"")</f>
        <v/>
      </c>
    </row>
    <row r="25" spans="1:14" ht="27" thickBot="1">
      <c r="A25" s="270" t="str">
        <f t="shared" si="6"/>
        <v/>
      </c>
      <c r="B25" s="10">
        <v>15</v>
      </c>
      <c r="C25" s="146"/>
      <c r="D25" s="146" t="str">
        <f t="shared" si="0"/>
        <v/>
      </c>
      <c r="E25" s="155" t="str">
        <f t="shared" si="7"/>
        <v/>
      </c>
      <c r="F25" s="152" t="str">
        <f t="shared" si="2"/>
        <v/>
      </c>
      <c r="G25" s="155" t="str">
        <f t="shared" si="3"/>
        <v/>
      </c>
      <c r="H25" s="155" t="str">
        <f t="shared" si="5"/>
        <v/>
      </c>
      <c r="I25" s="146" t="str">
        <f t="shared" si="1"/>
        <v/>
      </c>
      <c r="J25" s="156" t="str">
        <f t="shared" si="4"/>
        <v/>
      </c>
      <c r="K25" s="154"/>
      <c r="L25" s="154"/>
      <c r="M25" s="154" t="str">
        <f>IF(C25&lt;&gt;"",3600*$J25/(4200*$J$4),"")</f>
        <v/>
      </c>
    </row>
    <row r="26" spans="1:14" ht="27" thickBot="1">
      <c r="A26" s="270" t="str">
        <f t="shared" si="6"/>
        <v/>
      </c>
      <c r="B26" s="10">
        <v>16</v>
      </c>
      <c r="C26" s="146"/>
      <c r="D26" s="146" t="str">
        <f t="shared" si="0"/>
        <v/>
      </c>
      <c r="E26" s="155" t="str">
        <f t="shared" si="7"/>
        <v/>
      </c>
      <c r="F26" s="152" t="str">
        <f t="shared" si="2"/>
        <v/>
      </c>
      <c r="G26" s="155" t="str">
        <f t="shared" si="3"/>
        <v/>
      </c>
      <c r="H26" s="155" t="str">
        <f t="shared" si="5"/>
        <v/>
      </c>
      <c r="I26" s="146" t="str">
        <f t="shared" si="1"/>
        <v/>
      </c>
      <c r="J26" s="156" t="str">
        <f t="shared" si="4"/>
        <v/>
      </c>
      <c r="K26" s="154"/>
      <c r="L26" s="154"/>
      <c r="M26" s="154" t="str">
        <f>IF(C26&lt;&gt;"",3600*$J26/(4200*$J$4),"")</f>
        <v/>
      </c>
    </row>
    <row r="27" spans="1:14" ht="27" thickBot="1">
      <c r="A27" s="270" t="str">
        <f t="shared" si="6"/>
        <v/>
      </c>
      <c r="B27" s="10">
        <v>17</v>
      </c>
      <c r="C27" s="146"/>
      <c r="D27" s="146" t="str">
        <f t="shared" si="0"/>
        <v/>
      </c>
      <c r="E27" s="155" t="str">
        <f t="shared" si="7"/>
        <v/>
      </c>
      <c r="F27" s="152" t="str">
        <f t="shared" si="2"/>
        <v/>
      </c>
      <c r="G27" s="155" t="str">
        <f t="shared" si="3"/>
        <v/>
      </c>
      <c r="H27" s="155" t="str">
        <f t="shared" si="5"/>
        <v/>
      </c>
      <c r="I27" s="146" t="str">
        <f t="shared" si="1"/>
        <v/>
      </c>
      <c r="J27" s="156" t="str">
        <f t="shared" si="4"/>
        <v/>
      </c>
      <c r="K27" s="154"/>
      <c r="L27" s="154"/>
      <c r="M27" s="154" t="str">
        <f>IF(C27&lt;&gt;"",3600*$J27/(4200*$J$4),"")</f>
        <v/>
      </c>
    </row>
    <row r="28" spans="1:14" ht="26.25">
      <c r="A28" s="270" t="str">
        <f t="shared" si="6"/>
        <v/>
      </c>
      <c r="B28" s="10">
        <v>18</v>
      </c>
      <c r="C28" s="148"/>
      <c r="D28" s="128" t="str">
        <f t="shared" si="0"/>
        <v/>
      </c>
      <c r="E28" s="128"/>
      <c r="F28" s="152"/>
      <c r="G28" s="128"/>
      <c r="H28" s="128"/>
      <c r="I28" s="128"/>
      <c r="J28" s="128"/>
      <c r="K28" s="128"/>
      <c r="L28" s="154"/>
      <c r="M28" s="128"/>
    </row>
    <row r="29" spans="1:14" s="128" customFormat="1" ht="23.25">
      <c r="F29" s="152"/>
    </row>
    <row r="30" spans="1:14" ht="23.25">
      <c r="F30" s="152"/>
    </row>
    <row r="31" spans="1:14" ht="23.25">
      <c r="F31" s="152"/>
      <c r="N31" s="127"/>
    </row>
    <row r="32" spans="1:14" ht="26.25">
      <c r="B32" s="28"/>
    </row>
    <row r="33" spans="1:13" ht="26.25">
      <c r="B33" s="28"/>
    </row>
    <row r="34" spans="1:13" ht="26.25">
      <c r="B34" s="28"/>
    </row>
    <row r="35" spans="1:13" ht="26.25">
      <c r="B35" s="28"/>
    </row>
    <row r="36" spans="1:13" ht="26.25">
      <c r="B36" s="28"/>
    </row>
    <row r="37" spans="1:13" ht="26.25">
      <c r="A37" s="130"/>
      <c r="B37" s="28"/>
    </row>
    <row r="38" spans="1:13" ht="26.25">
      <c r="A38" s="131"/>
      <c r="B38" s="28"/>
    </row>
    <row r="39" spans="1:13" ht="26.25">
      <c r="A39" s="131"/>
      <c r="B39" s="28"/>
    </row>
    <row r="40" spans="1:13" ht="26.25">
      <c r="A40" s="131"/>
      <c r="B40" s="28"/>
    </row>
    <row r="41" spans="1:13" ht="26.25">
      <c r="A41" s="131"/>
      <c r="B41" s="28"/>
    </row>
    <row r="42" spans="1:13" ht="26.25">
      <c r="A42" s="131"/>
      <c r="B42" s="28"/>
    </row>
    <row r="43" spans="1:13" ht="26.25">
      <c r="B43" s="28"/>
    </row>
    <row r="48" spans="1:13" ht="23.25">
      <c r="C48" s="148"/>
      <c r="D48" s="148"/>
      <c r="E48" s="148"/>
      <c r="F48" s="148"/>
      <c r="G48" s="148"/>
      <c r="H48" s="148"/>
      <c r="I48" s="148"/>
      <c r="J48" s="148"/>
      <c r="K48" s="148"/>
      <c r="L48" s="148"/>
      <c r="M48" s="148"/>
    </row>
    <row r="49" spans="1:13" ht="23.25">
      <c r="C49" s="148"/>
      <c r="D49" s="148"/>
      <c r="E49" s="148"/>
      <c r="F49" s="148"/>
      <c r="G49" s="148"/>
      <c r="H49" s="148"/>
      <c r="I49" s="148"/>
      <c r="J49" s="148"/>
      <c r="K49" s="148"/>
      <c r="L49" s="148"/>
      <c r="M49" s="148"/>
    </row>
    <row r="50" spans="1:13" ht="23.25">
      <c r="C50" s="148"/>
      <c r="D50" s="148"/>
      <c r="E50" s="148"/>
      <c r="F50" s="148"/>
      <c r="G50" s="148"/>
      <c r="H50" s="148"/>
      <c r="I50" s="148"/>
      <c r="J50" s="148"/>
      <c r="K50" s="148"/>
      <c r="L50" s="148"/>
      <c r="M50" s="148"/>
    </row>
    <row r="51" spans="1:13" ht="23.25">
      <c r="C51" s="148"/>
      <c r="D51" s="148"/>
      <c r="E51" s="148"/>
      <c r="F51" s="148"/>
      <c r="G51" s="148"/>
      <c r="H51" s="148"/>
      <c r="I51" s="148"/>
      <c r="J51" s="148"/>
      <c r="K51" s="148"/>
      <c r="L51" s="148"/>
      <c r="M51" s="148"/>
    </row>
    <row r="61" spans="1:13" s="128" customFormat="1"/>
    <row r="63" spans="1:13">
      <c r="A63" s="130"/>
      <c r="B63" s="129"/>
      <c r="C63" s="129"/>
      <c r="D63" s="129"/>
      <c r="E63" s="129"/>
      <c r="F63" s="129"/>
      <c r="G63" s="129"/>
    </row>
    <row r="64" spans="1:13">
      <c r="A64" s="131"/>
      <c r="B64" s="131"/>
      <c r="C64" s="131"/>
      <c r="D64" s="131"/>
      <c r="E64" s="131"/>
      <c r="F64" s="131"/>
      <c r="G64" s="126"/>
      <c r="H64" s="132"/>
    </row>
    <row r="65" spans="1:11">
      <c r="A65" s="131"/>
      <c r="B65" s="131"/>
      <c r="C65" s="131"/>
      <c r="D65" s="131"/>
      <c r="E65" s="131"/>
      <c r="F65" s="131"/>
      <c r="G65" s="126"/>
      <c r="H65" s="132"/>
    </row>
    <row r="66" spans="1:11">
      <c r="A66" s="131"/>
      <c r="B66" s="131"/>
      <c r="C66" s="131"/>
      <c r="D66" s="131"/>
      <c r="E66" s="131"/>
      <c r="F66" s="131"/>
      <c r="G66" s="126"/>
      <c r="H66" s="132"/>
    </row>
    <row r="67" spans="1:11">
      <c r="A67" s="131"/>
      <c r="B67" s="131"/>
      <c r="C67" s="131"/>
      <c r="D67" s="131"/>
      <c r="E67" s="131"/>
      <c r="F67" s="131"/>
      <c r="G67" s="126"/>
      <c r="H67" s="132"/>
    </row>
    <row r="68" spans="1:11">
      <c r="A68" s="131"/>
      <c r="B68" s="131"/>
      <c r="C68" s="131"/>
      <c r="D68" s="131"/>
      <c r="E68" s="131"/>
      <c r="F68" s="131"/>
      <c r="G68" s="126"/>
      <c r="H68" s="132"/>
    </row>
    <row r="69" spans="1:11">
      <c r="A69" s="131"/>
      <c r="B69" s="131"/>
      <c r="C69" s="131"/>
      <c r="D69" s="131"/>
      <c r="E69" s="131"/>
      <c r="F69" s="131"/>
      <c r="G69" s="126"/>
      <c r="H69" s="132"/>
    </row>
    <row r="74" spans="1:11">
      <c r="G74" s="123"/>
      <c r="H74" s="133"/>
    </row>
    <row r="75" spans="1:11">
      <c r="G75" s="123"/>
    </row>
    <row r="77" spans="1:11">
      <c r="A77" s="128"/>
      <c r="B77" s="128"/>
      <c r="C77" s="128"/>
      <c r="D77" s="128"/>
      <c r="F77" s="128"/>
      <c r="G77" s="128"/>
      <c r="H77" s="128"/>
      <c r="I77" s="128"/>
      <c r="J77" s="134"/>
      <c r="K77" s="128"/>
    </row>
    <row r="78" spans="1:11">
      <c r="F78" s="135"/>
      <c r="G78" s="123"/>
      <c r="H78" s="123"/>
      <c r="I78" s="136"/>
      <c r="J78" s="137"/>
    </row>
    <row r="79" spans="1:11">
      <c r="E79" s="128"/>
      <c r="F79" s="135"/>
      <c r="G79" s="123"/>
      <c r="H79" s="123"/>
      <c r="I79" s="136"/>
      <c r="J79" s="137"/>
    </row>
    <row r="80" spans="1:11">
      <c r="E80" s="123"/>
      <c r="F80" s="135"/>
      <c r="G80" s="123"/>
      <c r="H80" s="123"/>
      <c r="I80" s="136"/>
      <c r="J80" s="137"/>
    </row>
    <row r="81" spans="5:10">
      <c r="E81" s="123"/>
      <c r="F81" s="135"/>
      <c r="G81" s="123"/>
      <c r="H81" s="123"/>
      <c r="I81" s="136"/>
      <c r="J81" s="137"/>
    </row>
    <row r="82" spans="5:10">
      <c r="E82" s="123"/>
      <c r="F82" s="135"/>
      <c r="G82" s="123"/>
      <c r="H82" s="123"/>
      <c r="I82" s="136"/>
      <c r="J82" s="137"/>
    </row>
    <row r="83" spans="5:10">
      <c r="E83" s="123"/>
      <c r="F83" s="135"/>
      <c r="G83" s="123"/>
      <c r="H83" s="123"/>
      <c r="I83" s="136"/>
      <c r="J83" s="137"/>
    </row>
    <row r="84" spans="5:10">
      <c r="E84" s="123"/>
      <c r="F84" s="135"/>
      <c r="G84" s="123"/>
      <c r="H84" s="123"/>
      <c r="I84" s="136"/>
      <c r="J84" s="137"/>
    </row>
    <row r="85" spans="5:10">
      <c r="E85" s="123"/>
      <c r="F85" s="135"/>
      <c r="G85" s="123"/>
    </row>
    <row r="86" spans="5:10">
      <c r="E86" s="123"/>
      <c r="F86" s="135"/>
      <c r="G86" s="123"/>
    </row>
    <row r="87" spans="5:10">
      <c r="E87" s="123"/>
      <c r="F87" s="135"/>
      <c r="G87" s="123"/>
    </row>
    <row r="88" spans="5:10">
      <c r="E88" s="123"/>
      <c r="F88" s="135"/>
      <c r="G88" s="123"/>
    </row>
    <row r="89" spans="5:10">
      <c r="E89" s="123"/>
      <c r="F89" s="135"/>
      <c r="G89" s="123"/>
    </row>
    <row r="90" spans="5:10">
      <c r="E90" s="123"/>
      <c r="F90" s="135"/>
      <c r="G90" s="123"/>
    </row>
    <row r="91" spans="5:10">
      <c r="E91" s="123"/>
      <c r="F91" s="135"/>
      <c r="G91" s="123"/>
    </row>
    <row r="92" spans="5:10">
      <c r="E92" s="123"/>
      <c r="F92" s="135"/>
      <c r="G92" s="123"/>
    </row>
    <row r="93" spans="5:10">
      <c r="E93" s="123"/>
    </row>
    <row r="94" spans="5:10">
      <c r="E94" s="123"/>
    </row>
  </sheetData>
  <conditionalFormatting sqref="L13:L28">
    <cfRule type="colorScale" priority="2">
      <colorScale>
        <cfvo type="num" val="45"/>
        <cfvo type="num" val="55"/>
        <cfvo type="num" val="70"/>
        <color rgb="FF00B050"/>
        <color rgb="FFFFC000"/>
        <color rgb="FFFF0000"/>
      </colorScale>
    </cfRule>
  </conditionalFormatting>
  <dataValidations count="2">
    <dataValidation type="list" allowBlank="1" showInputMessage="1" showErrorMessage="1" sqref="E13:E27" xr:uid="{72E90B23-7A11-3642-8A6E-6D0B20CBA0D8}">
      <formula1>$R$13:$V$13</formula1>
    </dataValidation>
    <dataValidation type="whole" allowBlank="1" showInputMessage="1" showErrorMessage="1" sqref="D11 J4" xr:uid="{5DEB4C56-ABAF-BE4A-865C-BCE6FBEA3B14}">
      <formula1>3</formula1>
      <formula2>15</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71669-CDE1-1C4D-B58C-2D6C58B024F5}">
  <dimension ref="A1:V84"/>
  <sheetViews>
    <sheetView zoomScale="57" zoomScaleNormal="62" workbookViewId="0">
      <selection activeCell="D30" sqref="D30"/>
    </sheetView>
  </sheetViews>
  <sheetFormatPr baseColWidth="10" defaultColWidth="10.875" defaultRowHeight="18.75"/>
  <cols>
    <col min="1" max="1" width="123.375" style="122" customWidth="1"/>
    <col min="2" max="2" width="7.375" style="122" customWidth="1"/>
    <col min="3" max="3" width="92.375" style="122" customWidth="1"/>
    <col min="4" max="4" width="21" style="122" customWidth="1"/>
    <col min="5" max="5" width="14.375" style="122" customWidth="1"/>
    <col min="6" max="6" width="17.625" style="122" customWidth="1"/>
    <col min="7" max="9" width="14.375" style="122" customWidth="1"/>
    <col min="10" max="10" width="14" style="122" customWidth="1"/>
    <col min="11" max="12" width="17.5" style="122" customWidth="1"/>
    <col min="13" max="13" width="17.125" style="122" customWidth="1"/>
    <col min="14" max="16384" width="10.875" style="122"/>
  </cols>
  <sheetData>
    <row r="1" spans="1:22" s="1" customFormat="1" ht="61.5">
      <c r="A1" s="119" t="s">
        <v>165</v>
      </c>
      <c r="B1" s="138"/>
      <c r="C1" s="138"/>
      <c r="D1" s="138"/>
      <c r="E1" s="138"/>
      <c r="F1" s="138"/>
      <c r="G1" s="138"/>
    </row>
    <row r="2" spans="1:22" s="91" customFormat="1" ht="31.5">
      <c r="A2" s="91" t="s">
        <v>166</v>
      </c>
      <c r="B2" s="139"/>
      <c r="C2" s="139"/>
      <c r="D2" s="139"/>
      <c r="E2" s="139"/>
      <c r="F2" s="139"/>
      <c r="G2" s="139"/>
    </row>
    <row r="3" spans="1:22" s="91" customFormat="1" ht="31.5">
      <c r="B3" s="139"/>
      <c r="C3" s="139"/>
      <c r="D3" s="139"/>
      <c r="E3" s="139"/>
      <c r="F3" s="139"/>
      <c r="G3" s="139"/>
    </row>
    <row r="5" spans="1:22" ht="26.25">
      <c r="A5" s="7" t="s">
        <v>0</v>
      </c>
      <c r="B5" s="7" t="s">
        <v>1</v>
      </c>
      <c r="C5" s="167" t="s">
        <v>169</v>
      </c>
      <c r="D5" s="167"/>
      <c r="E5" s="167"/>
      <c r="F5" s="167"/>
    </row>
    <row r="6" spans="1:22" ht="26.25">
      <c r="A6" s="267" t="s">
        <v>182</v>
      </c>
      <c r="B6" s="10" cm="1">
        <f t="array" ref="B6:B42">_xlfn.SEQUENCE(37,1,1,1)</f>
        <v>1</v>
      </c>
      <c r="C6" s="157" t="s">
        <v>205</v>
      </c>
      <c r="D6" s="146" t="str">
        <f>'3. HEAT PUMP CALCULATION'!D16</f>
        <v>Heathrow</v>
      </c>
    </row>
    <row r="7" spans="1:22" ht="26.25">
      <c r="A7" s="267" t="s">
        <v>182</v>
      </c>
      <c r="B7" s="10">
        <v>2</v>
      </c>
      <c r="C7" s="157" t="s">
        <v>231</v>
      </c>
      <c r="D7" s="151">
        <f>'3. HEAT PUMP CALCULATION'!D10</f>
        <v>15000</v>
      </c>
      <c r="E7" s="165" t="s">
        <v>167</v>
      </c>
    </row>
    <row r="8" spans="1:22" ht="27" thickBot="1">
      <c r="A8" s="267"/>
      <c r="B8" s="10">
        <v>3</v>
      </c>
      <c r="C8" s="167" t="s">
        <v>174</v>
      </c>
      <c r="D8" s="167"/>
      <c r="E8" s="167"/>
      <c r="F8" s="167"/>
      <c r="S8" s="123"/>
      <c r="T8" s="123"/>
      <c r="U8" s="124"/>
      <c r="V8" s="123"/>
    </row>
    <row r="9" spans="1:22" ht="27" thickBot="1">
      <c r="A9" s="267" t="s">
        <v>181</v>
      </c>
      <c r="B9" s="10">
        <v>4</v>
      </c>
      <c r="C9" s="157" t="s">
        <v>232</v>
      </c>
      <c r="D9" s="240">
        <f>'3. HEAT PUMP CALCULATION'!D13</f>
        <v>19.791666666666668</v>
      </c>
      <c r="E9" s="148" t="s">
        <v>5</v>
      </c>
      <c r="S9" s="123"/>
      <c r="T9" s="125"/>
      <c r="U9" s="124"/>
      <c r="V9" s="125"/>
    </row>
    <row r="10" spans="1:22" ht="27" thickBot="1">
      <c r="A10" s="267" t="s">
        <v>181</v>
      </c>
      <c r="B10" s="10">
        <v>5</v>
      </c>
      <c r="C10" s="168" t="s">
        <v>233</v>
      </c>
      <c r="D10" s="240">
        <f>'3. HEAT PUMP CALCULATION'!D14</f>
        <v>23</v>
      </c>
      <c r="E10" s="148" t="s">
        <v>5</v>
      </c>
      <c r="S10" s="123"/>
      <c r="T10" s="123"/>
      <c r="U10" s="123"/>
      <c r="V10" s="123"/>
    </row>
    <row r="11" spans="1:22" ht="27" thickBot="1">
      <c r="A11" s="267"/>
      <c r="B11" s="10">
        <v>6</v>
      </c>
      <c r="C11" s="167" t="s">
        <v>175</v>
      </c>
      <c r="D11" s="167"/>
      <c r="E11" s="167"/>
      <c r="F11" s="167"/>
    </row>
    <row r="12" spans="1:22" ht="27" thickBot="1">
      <c r="A12" s="267" t="s">
        <v>180</v>
      </c>
      <c r="B12" s="10">
        <v>7</v>
      </c>
      <c r="C12" s="157" t="s">
        <v>303</v>
      </c>
      <c r="D12" s="240">
        <f>'3. HEAT PUMP CALCULATION'!D11</f>
        <v>6</v>
      </c>
      <c r="E12" s="148" t="s">
        <v>171</v>
      </c>
      <c r="F12" s="148"/>
    </row>
    <row r="13" spans="1:22" ht="27" thickBot="1">
      <c r="A13" s="267" t="s">
        <v>179</v>
      </c>
      <c r="B13" s="10">
        <v>8</v>
      </c>
      <c r="C13" s="157" t="s">
        <v>170</v>
      </c>
      <c r="D13" s="201">
        <f>D12*3600000/(4200*(55-15))</f>
        <v>128.57142857142858</v>
      </c>
      <c r="E13" s="148" t="s">
        <v>172</v>
      </c>
      <c r="F13" s="148" t="s">
        <v>173</v>
      </c>
      <c r="H13" s="160"/>
      <c r="I13" s="158"/>
      <c r="J13" s="158"/>
      <c r="K13" s="159"/>
      <c r="L13" s="158"/>
      <c r="M13" s="143"/>
    </row>
    <row r="14" spans="1:22" ht="27" thickBot="1">
      <c r="A14" s="267"/>
      <c r="B14" s="10">
        <v>9</v>
      </c>
      <c r="C14" s="157" t="s">
        <v>301</v>
      </c>
      <c r="D14" s="201">
        <f>$D$12*365/2.5</f>
        <v>876</v>
      </c>
      <c r="E14" s="148" t="s">
        <v>302</v>
      </c>
      <c r="F14" s="148"/>
      <c r="H14" s="162"/>
      <c r="I14" s="161"/>
      <c r="J14" s="151"/>
      <c r="K14" s="148"/>
      <c r="L14" s="161"/>
      <c r="M14" s="152"/>
    </row>
    <row r="15" spans="1:22" ht="27" thickBot="1">
      <c r="A15" s="267"/>
      <c r="B15" s="10">
        <v>10</v>
      </c>
      <c r="C15" s="167" t="s">
        <v>176</v>
      </c>
      <c r="D15" s="167"/>
      <c r="E15" s="167"/>
      <c r="F15" s="167"/>
      <c r="G15" s="158"/>
      <c r="H15" s="158"/>
      <c r="I15" s="158"/>
      <c r="J15" s="158"/>
      <c r="K15" s="158"/>
      <c r="L15" s="158"/>
      <c r="M15" s="143"/>
    </row>
    <row r="16" spans="1:22" ht="27" thickBot="1">
      <c r="A16" s="267" t="s">
        <v>177</v>
      </c>
      <c r="B16" s="10">
        <v>11</v>
      </c>
      <c r="C16" s="157" t="s">
        <v>234</v>
      </c>
      <c r="D16" s="201">
        <f>'3. HEAT PUMP CALCULATION'!D22</f>
        <v>10888.5</v>
      </c>
      <c r="E16" s="165" t="s">
        <v>167</v>
      </c>
      <c r="F16" s="161"/>
      <c r="G16" s="162"/>
      <c r="H16" s="162"/>
      <c r="I16" s="165" t="s">
        <v>241</v>
      </c>
      <c r="J16" s="163"/>
      <c r="K16" s="154"/>
      <c r="L16" s="154"/>
      <c r="M16" s="154"/>
    </row>
    <row r="17" spans="1:14" ht="27" thickBot="1">
      <c r="A17" s="267" t="s">
        <v>178</v>
      </c>
      <c r="B17" s="10">
        <v>12</v>
      </c>
      <c r="C17" s="164" t="s">
        <v>168</v>
      </c>
      <c r="D17" s="240">
        <f>'3. HEAT PUMP CALCULATION'!D28</f>
        <v>5.2963007800973037</v>
      </c>
      <c r="E17" s="165" t="s">
        <v>167</v>
      </c>
      <c r="F17" s="158"/>
      <c r="I17" s="162"/>
      <c r="J17" s="162" t="s">
        <v>239</v>
      </c>
      <c r="K17" s="162" t="s">
        <v>240</v>
      </c>
      <c r="L17" s="163"/>
    </row>
    <row r="18" spans="1:14" ht="27" thickBot="1">
      <c r="A18" s="267" t="s">
        <v>296</v>
      </c>
      <c r="B18" s="10">
        <v>13</v>
      </c>
      <c r="C18" s="157" t="s">
        <v>294</v>
      </c>
      <c r="D18" s="240">
        <f>'5 RADIATORS '!J5</f>
        <v>50</v>
      </c>
      <c r="E18" s="166" t="s">
        <v>5</v>
      </c>
      <c r="F18" s="152"/>
      <c r="I18" s="170" t="s">
        <v>207</v>
      </c>
      <c r="J18" s="170" t="s">
        <v>206</v>
      </c>
      <c r="K18" s="170" t="s">
        <v>206</v>
      </c>
      <c r="L18" s="171"/>
      <c r="M18" s="169" t="s">
        <v>239</v>
      </c>
      <c r="N18" s="169" t="s">
        <v>240</v>
      </c>
    </row>
    <row r="19" spans="1:14" ht="27" thickBot="1">
      <c r="A19" s="267" t="s">
        <v>304</v>
      </c>
      <c r="B19" s="10">
        <v>14</v>
      </c>
      <c r="C19" s="157" t="s">
        <v>295</v>
      </c>
      <c r="D19" s="240">
        <f>IF(D17&gt;5,$N$20+$N$19*D18,$M$20+$M$19*D18)</f>
        <v>3.6460000000000004</v>
      </c>
      <c r="E19" s="166"/>
      <c r="I19" s="171">
        <v>35</v>
      </c>
      <c r="J19" s="204">
        <v>4.4800000000000004</v>
      </c>
      <c r="K19" s="204">
        <v>4.3600000000000003</v>
      </c>
      <c r="L19" s="171" t="s">
        <v>59</v>
      </c>
      <c r="M19" s="204">
        <f>SLOPE($J$19:$J$23,$I$19:$I$23)</f>
        <v>-7.1199999999999999E-2</v>
      </c>
      <c r="N19" s="204">
        <f>SLOPE($K$19:$K$23,$I$19:$I$23)</f>
        <v>-4.8400000000000006E-2</v>
      </c>
    </row>
    <row r="20" spans="1:14" ht="27" thickBot="1">
      <c r="A20" s="267"/>
      <c r="B20" s="10">
        <v>15</v>
      </c>
      <c r="C20" s="167" t="s">
        <v>183</v>
      </c>
      <c r="D20" s="167"/>
      <c r="E20" s="167"/>
      <c r="F20" s="167"/>
      <c r="I20" s="171">
        <v>40</v>
      </c>
      <c r="J20" s="204">
        <v>4.13</v>
      </c>
      <c r="K20" s="204">
        <v>4.13</v>
      </c>
      <c r="L20" s="171" t="s">
        <v>208</v>
      </c>
      <c r="M20" s="204">
        <f>INTERCEPT($J$19:$J$23,$I$19:$I$23)</f>
        <v>6.9740000000000002</v>
      </c>
      <c r="N20" s="204">
        <f>INTERCEPT($K$19:$K$23,$I$19:$I$23)</f>
        <v>6.0660000000000007</v>
      </c>
    </row>
    <row r="21" spans="1:14" ht="27" thickBot="1">
      <c r="A21" s="267" t="s">
        <v>195</v>
      </c>
      <c r="B21" s="10">
        <v>16</v>
      </c>
      <c r="C21" s="172" t="s">
        <v>235</v>
      </c>
      <c r="D21" s="147">
        <v>11</v>
      </c>
      <c r="E21" s="173" t="s">
        <v>185</v>
      </c>
      <c r="F21" s="174"/>
      <c r="I21" s="171">
        <v>45</v>
      </c>
      <c r="J21" s="204">
        <v>3.77</v>
      </c>
      <c r="K21" s="204">
        <v>3.91</v>
      </c>
      <c r="N21" s="154"/>
    </row>
    <row r="22" spans="1:14" s="128" customFormat="1" ht="27" thickBot="1">
      <c r="A22" s="267" t="s">
        <v>196</v>
      </c>
      <c r="B22" s="10">
        <v>17</v>
      </c>
      <c r="C22" s="172" t="s">
        <v>184</v>
      </c>
      <c r="D22" s="147">
        <v>25</v>
      </c>
      <c r="E22" s="173" t="s">
        <v>187</v>
      </c>
      <c r="F22" s="174"/>
      <c r="I22" s="171">
        <v>50</v>
      </c>
      <c r="J22" s="204">
        <v>3.41</v>
      </c>
      <c r="K22" s="204">
        <v>3.65</v>
      </c>
      <c r="L22" s="163"/>
      <c r="M22" s="154"/>
      <c r="N22" s="154"/>
    </row>
    <row r="23" spans="1:14" ht="26.25">
      <c r="A23" s="267" t="s">
        <v>197</v>
      </c>
      <c r="B23" s="10">
        <v>18</v>
      </c>
      <c r="C23" s="181" t="s">
        <v>186</v>
      </c>
      <c r="D23" s="182">
        <f>(365*D22/100)+(D21*D7/100)</f>
        <v>1741.25</v>
      </c>
      <c r="E23" s="183" t="s">
        <v>188</v>
      </c>
      <c r="F23" s="184"/>
      <c r="I23" s="171">
        <v>55</v>
      </c>
      <c r="J23" s="204">
        <v>3.06</v>
      </c>
      <c r="K23" s="204">
        <v>3.39</v>
      </c>
      <c r="L23" s="163"/>
      <c r="M23" s="154"/>
      <c r="N23" s="154"/>
    </row>
    <row r="24" spans="1:14" ht="26.25">
      <c r="A24" s="267" t="s">
        <v>198</v>
      </c>
      <c r="B24" s="10">
        <v>19</v>
      </c>
      <c r="C24" s="181" t="s">
        <v>190</v>
      </c>
      <c r="D24" s="182">
        <f>D23/12</f>
        <v>145.10416666666666</v>
      </c>
      <c r="E24" s="183" t="s">
        <v>192</v>
      </c>
      <c r="F24" s="184"/>
      <c r="G24" s="162"/>
      <c r="H24" s="162"/>
      <c r="I24" s="146"/>
      <c r="J24" s="163"/>
      <c r="K24" s="154"/>
      <c r="L24" s="154"/>
      <c r="M24" s="154"/>
      <c r="N24" s="127"/>
    </row>
    <row r="25" spans="1:14" ht="27" thickBot="1">
      <c r="A25" s="268"/>
      <c r="B25" s="10">
        <v>20</v>
      </c>
      <c r="C25" s="175" t="s">
        <v>297</v>
      </c>
      <c r="D25" s="202">
        <f>D16/D19</f>
        <v>2986.4234777838724</v>
      </c>
      <c r="E25" s="178" t="s">
        <v>217</v>
      </c>
      <c r="F25" s="177"/>
      <c r="G25" s="162"/>
      <c r="H25" s="162"/>
      <c r="I25" s="146"/>
      <c r="J25" s="163"/>
      <c r="K25" s="154"/>
      <c r="L25" s="154"/>
      <c r="M25" s="154"/>
    </row>
    <row r="26" spans="1:14" ht="27" thickBot="1">
      <c r="A26" s="267" t="s">
        <v>199</v>
      </c>
      <c r="B26" s="10">
        <v>21</v>
      </c>
      <c r="C26" s="175" t="s">
        <v>236</v>
      </c>
      <c r="D26" s="147">
        <v>34</v>
      </c>
      <c r="E26" s="178" t="s">
        <v>185</v>
      </c>
      <c r="F26" s="176"/>
      <c r="G26" s="162"/>
      <c r="H26" s="162"/>
      <c r="I26" s="146"/>
      <c r="J26" s="163"/>
      <c r="K26" s="154"/>
      <c r="L26" s="154"/>
      <c r="M26" s="154"/>
    </row>
    <row r="27" spans="1:14" ht="27" thickBot="1">
      <c r="A27" s="267" t="s">
        <v>196</v>
      </c>
      <c r="B27" s="10">
        <v>22</v>
      </c>
      <c r="C27" s="175" t="s">
        <v>200</v>
      </c>
      <c r="D27" s="147">
        <v>39</v>
      </c>
      <c r="E27" s="178" t="s">
        <v>187</v>
      </c>
      <c r="F27" s="176"/>
      <c r="G27" s="162"/>
      <c r="H27" s="162"/>
      <c r="I27" s="146"/>
      <c r="J27" s="163"/>
      <c r="K27" s="154"/>
      <c r="L27" s="154"/>
      <c r="M27" s="154"/>
    </row>
    <row r="28" spans="1:14" ht="26.25">
      <c r="A28" s="267"/>
      <c r="B28" s="10">
        <v>23</v>
      </c>
      <c r="C28" s="177"/>
      <c r="D28" s="177"/>
      <c r="E28" s="177"/>
      <c r="F28" s="177"/>
      <c r="G28" s="162"/>
      <c r="H28" s="162"/>
      <c r="I28" s="146"/>
      <c r="J28" s="163"/>
      <c r="K28" s="154"/>
      <c r="L28" s="154"/>
      <c r="M28" s="154"/>
    </row>
    <row r="29" spans="1:14" ht="26.25">
      <c r="A29" s="267" t="s">
        <v>202</v>
      </c>
      <c r="B29" s="10">
        <v>24</v>
      </c>
      <c r="C29" s="175" t="s">
        <v>201</v>
      </c>
      <c r="D29" s="179">
        <f>(365*D27/100)+(D26*D16/(D19*100))</f>
        <v>1157.7339824465166</v>
      </c>
      <c r="E29" s="178" t="s">
        <v>188</v>
      </c>
      <c r="F29" s="176" t="s">
        <v>189</v>
      </c>
      <c r="G29" s="162"/>
      <c r="H29" s="162"/>
      <c r="I29" s="146"/>
      <c r="J29" s="163"/>
      <c r="K29" s="154"/>
      <c r="L29" s="154"/>
      <c r="M29" s="154"/>
    </row>
    <row r="30" spans="1:14" ht="27" thickBot="1">
      <c r="A30" s="267" t="s">
        <v>203</v>
      </c>
      <c r="B30" s="10">
        <v>25</v>
      </c>
      <c r="C30" s="175" t="s">
        <v>194</v>
      </c>
      <c r="D30" s="180">
        <f>D14*D26/100</f>
        <v>297.83999999999997</v>
      </c>
      <c r="E30" s="178" t="s">
        <v>188</v>
      </c>
      <c r="F30" s="176" t="s">
        <v>191</v>
      </c>
      <c r="I30"/>
    </row>
    <row r="31" spans="1:14" ht="26.25">
      <c r="A31" s="267" t="s">
        <v>204</v>
      </c>
      <c r="B31" s="10">
        <v>26</v>
      </c>
      <c r="C31" s="185" t="s">
        <v>193</v>
      </c>
      <c r="D31" s="186">
        <f>SUM(D29:D30)</f>
        <v>1455.5739824465165</v>
      </c>
      <c r="E31" s="188" t="s">
        <v>188</v>
      </c>
      <c r="F31" s="187"/>
    </row>
    <row r="32" spans="1:14" ht="26.25">
      <c r="A32" s="267" t="s">
        <v>198</v>
      </c>
      <c r="B32" s="10">
        <v>27</v>
      </c>
      <c r="C32" s="185" t="s">
        <v>190</v>
      </c>
      <c r="D32" s="186">
        <f>D31/12</f>
        <v>121.29783187054305</v>
      </c>
      <c r="E32" s="188" t="s">
        <v>192</v>
      </c>
      <c r="F32" s="187"/>
    </row>
    <row r="33" spans="1:13" ht="27" thickBot="1">
      <c r="A33" s="268"/>
      <c r="B33" s="10">
        <v>28</v>
      </c>
      <c r="C33" s="167" t="s">
        <v>209</v>
      </c>
      <c r="D33" s="167"/>
      <c r="E33" s="167"/>
      <c r="F33" s="167"/>
    </row>
    <row r="34" spans="1:13" ht="27" thickBot="1">
      <c r="A34" s="267" t="s">
        <v>220</v>
      </c>
      <c r="B34" s="10">
        <v>29</v>
      </c>
      <c r="C34" s="189" t="s">
        <v>210</v>
      </c>
      <c r="D34" s="147">
        <v>230</v>
      </c>
      <c r="E34" s="190" t="s">
        <v>211</v>
      </c>
      <c r="F34" s="191"/>
      <c r="I34" s="122" t="s">
        <v>238</v>
      </c>
    </row>
    <row r="35" spans="1:13" ht="27" thickBot="1">
      <c r="A35" s="267" t="s">
        <v>219</v>
      </c>
      <c r="B35" s="10">
        <v>30</v>
      </c>
      <c r="C35" s="175" t="s">
        <v>212</v>
      </c>
      <c r="D35" s="147">
        <v>230</v>
      </c>
      <c r="E35" s="178" t="s">
        <v>211</v>
      </c>
      <c r="F35" s="176"/>
      <c r="H35" s="122" t="s">
        <v>237</v>
      </c>
      <c r="I35" s="203">
        <f>D37</f>
        <v>3.45</v>
      </c>
    </row>
    <row r="36" spans="1:13" ht="26.25">
      <c r="A36" s="267" t="s">
        <v>221</v>
      </c>
      <c r="B36" s="10">
        <v>31</v>
      </c>
      <c r="C36" s="189" t="s">
        <v>213</v>
      </c>
      <c r="D36" s="266">
        <f>D34*D7/1000</f>
        <v>3450</v>
      </c>
      <c r="E36" s="190" t="s">
        <v>214</v>
      </c>
      <c r="F36" s="191"/>
      <c r="H36" s="122" t="s">
        <v>300</v>
      </c>
      <c r="I36" s="203">
        <f>D39</f>
        <v>0.88835739989029072</v>
      </c>
    </row>
    <row r="37" spans="1:13" ht="26.25">
      <c r="A37" s="267" t="s">
        <v>222</v>
      </c>
      <c r="B37" s="10">
        <v>32</v>
      </c>
      <c r="C37" s="189" t="s">
        <v>213</v>
      </c>
      <c r="D37" s="192">
        <f>D36/1000</f>
        <v>3.45</v>
      </c>
      <c r="E37" s="190" t="s">
        <v>215</v>
      </c>
      <c r="F37" s="191"/>
    </row>
    <row r="38" spans="1:13" ht="26.25">
      <c r="A38" s="267" t="s">
        <v>223</v>
      </c>
      <c r="B38" s="10">
        <v>33</v>
      </c>
      <c r="C38" s="175" t="s">
        <v>216</v>
      </c>
      <c r="D38" s="202">
        <f>D35*(D25+D14)/1000</f>
        <v>888.35739989029071</v>
      </c>
      <c r="E38" s="178" t="s">
        <v>214</v>
      </c>
      <c r="F38" s="176"/>
    </row>
    <row r="39" spans="1:13" ht="26.25">
      <c r="A39" s="267" t="s">
        <v>224</v>
      </c>
      <c r="B39" s="10">
        <v>34</v>
      </c>
      <c r="C39" s="175" t="s">
        <v>216</v>
      </c>
      <c r="D39" s="193">
        <f>D38/1000</f>
        <v>0.88835739989029072</v>
      </c>
      <c r="E39" s="178" t="s">
        <v>215</v>
      </c>
      <c r="F39" s="176"/>
      <c r="G39" s="148"/>
      <c r="H39" s="148"/>
      <c r="I39" s="148"/>
      <c r="J39" s="148"/>
      <c r="K39" s="148"/>
      <c r="L39" s="148"/>
      <c r="M39" s="148"/>
    </row>
    <row r="40" spans="1:13" ht="26.25">
      <c r="A40" s="267" t="s">
        <v>225</v>
      </c>
      <c r="B40" s="10">
        <v>35</v>
      </c>
      <c r="C40" s="194" t="s">
        <v>218</v>
      </c>
      <c r="D40" s="195">
        <f>D37-D39</f>
        <v>2.5616426001097095</v>
      </c>
      <c r="E40" s="196" t="s">
        <v>215</v>
      </c>
      <c r="F40" s="197"/>
      <c r="G40" s="148"/>
      <c r="H40" s="148"/>
      <c r="I40" s="148"/>
      <c r="J40" s="148"/>
      <c r="K40" s="148"/>
      <c r="L40" s="148"/>
      <c r="M40" s="148"/>
    </row>
    <row r="41" spans="1:13" ht="26.25">
      <c r="A41" s="267" t="s">
        <v>226</v>
      </c>
      <c r="B41" s="10">
        <v>36</v>
      </c>
      <c r="C41" s="194" t="s">
        <v>218</v>
      </c>
      <c r="D41" s="198">
        <f>D40/D37</f>
        <v>0.74250510148107518</v>
      </c>
      <c r="E41" s="196"/>
      <c r="F41" s="197"/>
      <c r="G41" s="148"/>
      <c r="H41" s="148"/>
      <c r="I41" s="148"/>
      <c r="J41" s="148"/>
      <c r="K41" s="148"/>
      <c r="L41" s="148"/>
      <c r="M41" s="148"/>
    </row>
    <row r="42" spans="1:13" ht="26.25">
      <c r="B42" s="10">
        <v>37</v>
      </c>
      <c r="G42" s="148"/>
      <c r="H42" s="148"/>
      <c r="I42" s="148"/>
      <c r="J42" s="148"/>
      <c r="K42" s="148"/>
      <c r="L42" s="148"/>
      <c r="M42" s="148"/>
    </row>
    <row r="51" spans="1:8">
      <c r="B51" s="128"/>
      <c r="C51" s="128"/>
      <c r="D51" s="128"/>
      <c r="E51" s="128"/>
      <c r="F51" s="128"/>
    </row>
    <row r="52" spans="1:8" s="128" customFormat="1">
      <c r="B52" s="122"/>
      <c r="C52" s="122"/>
      <c r="D52" s="122"/>
      <c r="E52" s="122"/>
      <c r="F52" s="122"/>
    </row>
    <row r="53" spans="1:8">
      <c r="B53" s="129"/>
      <c r="C53" s="129"/>
      <c r="D53" s="129"/>
      <c r="E53" s="129"/>
      <c r="F53" s="129"/>
    </row>
    <row r="54" spans="1:8">
      <c r="A54" s="130"/>
      <c r="B54" s="131"/>
      <c r="C54" s="131"/>
      <c r="D54" s="131"/>
      <c r="E54" s="131"/>
      <c r="F54" s="131"/>
      <c r="G54" s="129"/>
    </row>
    <row r="55" spans="1:8">
      <c r="A55" s="131"/>
      <c r="B55" s="131"/>
      <c r="C55" s="131"/>
      <c r="D55" s="131"/>
      <c r="E55" s="131"/>
      <c r="F55" s="131"/>
      <c r="G55" s="126"/>
      <c r="H55" s="132"/>
    </row>
    <row r="56" spans="1:8">
      <c r="A56" s="131"/>
      <c r="B56" s="131"/>
      <c r="C56" s="131"/>
      <c r="D56" s="131"/>
      <c r="E56" s="131"/>
      <c r="F56" s="131"/>
      <c r="G56" s="126"/>
      <c r="H56" s="132"/>
    </row>
    <row r="57" spans="1:8">
      <c r="A57" s="131"/>
      <c r="B57" s="131"/>
      <c r="C57" s="131"/>
      <c r="D57" s="131"/>
      <c r="E57" s="131"/>
      <c r="F57" s="131"/>
      <c r="G57" s="126"/>
      <c r="H57" s="132"/>
    </row>
    <row r="58" spans="1:8">
      <c r="A58" s="131"/>
      <c r="B58" s="131"/>
      <c r="C58" s="131"/>
      <c r="D58" s="131"/>
      <c r="E58" s="131"/>
      <c r="F58" s="131"/>
      <c r="G58" s="126"/>
      <c r="H58" s="132"/>
    </row>
    <row r="59" spans="1:8">
      <c r="A59" s="131"/>
      <c r="B59" s="131"/>
      <c r="C59" s="131"/>
      <c r="D59" s="131"/>
      <c r="E59" s="131"/>
      <c r="F59" s="131"/>
      <c r="G59" s="126"/>
      <c r="H59" s="132"/>
    </row>
    <row r="60" spans="1:8">
      <c r="A60" s="131"/>
      <c r="G60" s="126"/>
      <c r="H60" s="132"/>
    </row>
    <row r="65" spans="1:11">
      <c r="G65" s="123"/>
      <c r="H65" s="133"/>
    </row>
    <row r="66" spans="1:11">
      <c r="G66" s="123"/>
    </row>
    <row r="67" spans="1:11">
      <c r="B67" s="128"/>
      <c r="C67" s="128"/>
      <c r="D67" s="128"/>
      <c r="F67" s="128"/>
    </row>
    <row r="68" spans="1:11">
      <c r="A68" s="128"/>
      <c r="F68" s="135"/>
      <c r="G68" s="128"/>
      <c r="H68" s="128"/>
      <c r="I68" s="128"/>
      <c r="J68" s="134"/>
      <c r="K68" s="128"/>
    </row>
    <row r="69" spans="1:11">
      <c r="E69" s="128"/>
      <c r="F69" s="135"/>
      <c r="G69" s="123"/>
      <c r="H69" s="123"/>
      <c r="I69" s="136"/>
      <c r="J69" s="137"/>
    </row>
    <row r="70" spans="1:11">
      <c r="E70" s="123"/>
      <c r="F70" s="135"/>
      <c r="G70" s="123"/>
      <c r="H70" s="123"/>
      <c r="I70" s="136"/>
      <c r="J70" s="137"/>
    </row>
    <row r="71" spans="1:11">
      <c r="E71" s="123"/>
      <c r="F71" s="135"/>
      <c r="G71" s="123"/>
      <c r="H71" s="123"/>
      <c r="I71" s="136"/>
      <c r="J71" s="137"/>
    </row>
    <row r="72" spans="1:11">
      <c r="E72" s="123"/>
      <c r="F72" s="135"/>
      <c r="G72" s="123"/>
      <c r="H72" s="123"/>
      <c r="I72" s="136"/>
      <c r="J72" s="137"/>
    </row>
    <row r="73" spans="1:11">
      <c r="E73" s="123"/>
      <c r="F73" s="135"/>
      <c r="G73" s="123"/>
      <c r="H73" s="123"/>
      <c r="I73" s="136"/>
      <c r="J73" s="137"/>
    </row>
    <row r="74" spans="1:11">
      <c r="E74" s="123"/>
      <c r="F74" s="135"/>
      <c r="G74" s="123"/>
      <c r="H74" s="123"/>
      <c r="I74" s="136"/>
      <c r="J74" s="137"/>
    </row>
    <row r="75" spans="1:11">
      <c r="E75" s="123"/>
      <c r="F75" s="135"/>
      <c r="G75" s="123"/>
      <c r="H75" s="123"/>
      <c r="I75" s="136"/>
      <c r="J75" s="137"/>
    </row>
    <row r="76" spans="1:11">
      <c r="E76" s="123"/>
      <c r="F76" s="135"/>
      <c r="G76" s="123"/>
    </row>
    <row r="77" spans="1:11">
      <c r="E77" s="123"/>
      <c r="F77" s="135"/>
      <c r="G77" s="123"/>
    </row>
    <row r="78" spans="1:11">
      <c r="E78" s="123"/>
      <c r="F78" s="135"/>
      <c r="G78" s="123"/>
    </row>
    <row r="79" spans="1:11">
      <c r="E79" s="123"/>
      <c r="F79" s="135"/>
      <c r="G79" s="123"/>
    </row>
    <row r="80" spans="1:11">
      <c r="E80" s="123"/>
      <c r="F80" s="135"/>
      <c r="G80" s="123"/>
    </row>
    <row r="81" spans="5:7">
      <c r="E81" s="123"/>
      <c r="F81" s="135"/>
      <c r="G81" s="123"/>
    </row>
    <row r="82" spans="5:7">
      <c r="E82" s="123"/>
      <c r="F82" s="135"/>
      <c r="G82" s="123"/>
    </row>
    <row r="83" spans="5:7">
      <c r="E83" s="123"/>
      <c r="G83" s="123"/>
    </row>
    <row r="84" spans="5:7">
      <c r="E84" s="123"/>
    </row>
  </sheetData>
  <phoneticPr fontId="8" type="noConversion"/>
  <conditionalFormatting sqref="N21:N23 L16 L24:L29">
    <cfRule type="colorScale" priority="1">
      <colorScale>
        <cfvo type="num" val="45"/>
        <cfvo type="num" val="55"/>
        <cfvo type="num" val="70"/>
        <color rgb="FF00B050"/>
        <color rgb="FFFFC000"/>
        <color rgb="FFFF0000"/>
      </colorScale>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B5698-9BE3-B644-805E-B5205BA700B4}">
  <dimension ref="A1:DJ49"/>
  <sheetViews>
    <sheetView workbookViewId="0">
      <selection activeCell="Q35" sqref="Q35"/>
    </sheetView>
  </sheetViews>
  <sheetFormatPr baseColWidth="10" defaultRowHeight="15.75"/>
  <cols>
    <col min="1" max="1" width="15.125" customWidth="1"/>
    <col min="6" max="6" width="7.375" style="19" customWidth="1"/>
    <col min="7" max="7" width="14" style="19" customWidth="1"/>
    <col min="8" max="10" width="10.875" style="32"/>
    <col min="11" max="11" width="3.625" style="32" customWidth="1"/>
    <col min="12" max="14" width="10.875" style="32"/>
    <col min="15" max="15" width="3.625" style="32" customWidth="1"/>
    <col min="16" max="18" width="10.875" style="32"/>
    <col min="19" max="19" width="3.625" style="32" customWidth="1"/>
    <col min="20" max="22" width="10.875" style="32"/>
    <col min="23" max="23" width="3.625" style="32" customWidth="1"/>
    <col min="24" max="26" width="10.875" style="32"/>
    <col min="27" max="27" width="3.625" style="32" customWidth="1"/>
    <col min="28" max="30" width="10.875" style="32"/>
    <col min="31" max="31" width="3.625" style="32" customWidth="1"/>
    <col min="35" max="35" width="3.625" customWidth="1"/>
    <col min="39" max="39" width="3.625" customWidth="1"/>
    <col min="40" max="41" width="10.875" style="19"/>
    <col min="42" max="42" width="10.875" style="19" customWidth="1"/>
    <col min="43" max="43" width="3.625" customWidth="1"/>
    <col min="47" max="47" width="3.625" customWidth="1"/>
    <col min="51" max="51" width="3.625" customWidth="1"/>
    <col min="55" max="55" width="3.625" customWidth="1"/>
    <col min="59" max="59" width="3.625" customWidth="1"/>
    <col min="63" max="63" width="3.625" customWidth="1"/>
    <col min="67" max="67" width="3.625" customWidth="1"/>
    <col min="71" max="71" width="3.625" customWidth="1"/>
    <col min="75" max="75" width="3.625" customWidth="1"/>
    <col min="79" max="79" width="3.625" customWidth="1"/>
    <col min="83" max="83" width="3.625" customWidth="1"/>
    <col min="84" max="84" width="18" customWidth="1"/>
    <col min="85" max="87" width="10.875" style="19"/>
  </cols>
  <sheetData>
    <row r="1" spans="1:114" s="45" customFormat="1" ht="21">
      <c r="A1" s="45" t="s">
        <v>97</v>
      </c>
      <c r="F1" s="47"/>
      <c r="G1" s="47"/>
      <c r="H1" s="46"/>
      <c r="I1" s="46"/>
      <c r="J1" s="46"/>
      <c r="K1" s="50"/>
      <c r="L1" s="46"/>
      <c r="M1" s="46"/>
      <c r="N1" s="46"/>
      <c r="O1" s="50"/>
      <c r="P1" s="46"/>
      <c r="Q1" s="46"/>
      <c r="R1" s="46"/>
      <c r="S1" s="50"/>
      <c r="T1" s="46"/>
      <c r="U1" s="46"/>
      <c r="V1" s="46"/>
      <c r="W1" s="50"/>
      <c r="X1" s="46"/>
      <c r="Y1" s="46"/>
      <c r="Z1" s="46"/>
      <c r="AA1" s="50"/>
      <c r="AB1" s="46"/>
      <c r="AC1" s="46"/>
      <c r="AD1" s="46"/>
      <c r="AE1" s="50"/>
      <c r="AI1" s="56"/>
      <c r="AM1" s="56"/>
      <c r="AN1" s="47"/>
      <c r="AO1" s="47"/>
      <c r="AP1" s="47"/>
      <c r="AQ1" s="56"/>
      <c r="AU1" s="56"/>
      <c r="AY1" s="56"/>
      <c r="BC1" s="56"/>
      <c r="BG1" s="56"/>
      <c r="BK1" s="56"/>
      <c r="BO1" s="56"/>
      <c r="BS1" s="56"/>
      <c r="BW1" s="56"/>
      <c r="CA1" s="56"/>
      <c r="CE1" s="56"/>
      <c r="CG1" s="47"/>
      <c r="CH1" s="47"/>
      <c r="CI1" s="47"/>
      <c r="CJ1" s="48"/>
      <c r="CM1" s="47"/>
      <c r="CN1" s="47"/>
      <c r="CO1" s="47"/>
      <c r="CP1" s="47"/>
    </row>
    <row r="2" spans="1:114" s="45" customFormat="1" ht="21">
      <c r="A2" s="45" t="s">
        <v>96</v>
      </c>
      <c r="F2" s="47"/>
      <c r="G2" s="47"/>
      <c r="H2" s="46"/>
      <c r="I2" s="46"/>
      <c r="J2" s="46"/>
      <c r="K2" s="50"/>
      <c r="L2" s="46"/>
      <c r="M2" s="46"/>
      <c r="N2" s="46"/>
      <c r="O2" s="50"/>
      <c r="P2" s="46"/>
      <c r="Q2" s="46"/>
      <c r="R2" s="46"/>
      <c r="S2" s="50"/>
      <c r="T2" s="46"/>
      <c r="U2" s="46"/>
      <c r="V2" s="46"/>
      <c r="W2" s="50"/>
      <c r="X2" s="46"/>
      <c r="Y2" s="46"/>
      <c r="Z2" s="46"/>
      <c r="AA2" s="50"/>
      <c r="AB2" s="46"/>
      <c r="AC2" s="46"/>
      <c r="AD2" s="46"/>
      <c r="AE2" s="50"/>
      <c r="AI2" s="56"/>
      <c r="AM2" s="56"/>
      <c r="AN2" s="47"/>
      <c r="AO2" s="47"/>
      <c r="AP2" s="47"/>
      <c r="AQ2" s="56"/>
      <c r="AU2" s="56"/>
      <c r="AY2" s="56"/>
      <c r="BC2" s="56"/>
      <c r="BG2" s="56"/>
      <c r="BK2" s="56"/>
      <c r="BO2" s="56"/>
      <c r="BS2" s="56"/>
      <c r="BW2" s="56"/>
      <c r="CA2" s="56"/>
      <c r="CE2" s="56"/>
      <c r="CG2" s="47"/>
      <c r="CH2" s="47"/>
      <c r="CI2" s="47"/>
      <c r="CJ2" s="48"/>
      <c r="CM2" s="47"/>
      <c r="CN2" s="47"/>
      <c r="CO2" s="47"/>
      <c r="CP2" s="47"/>
    </row>
    <row r="3" spans="1:114" s="45" customFormat="1" ht="21">
      <c r="A3" s="45" t="s">
        <v>121</v>
      </c>
      <c r="F3" s="47"/>
      <c r="G3" s="47"/>
      <c r="H3" s="46"/>
      <c r="I3" s="46"/>
      <c r="J3" s="46"/>
      <c r="K3" s="50"/>
      <c r="L3" s="46"/>
      <c r="M3" s="46"/>
      <c r="N3" s="46"/>
      <c r="O3" s="50"/>
      <c r="P3" s="46"/>
      <c r="Q3" s="46"/>
      <c r="R3" s="46"/>
      <c r="S3" s="50"/>
      <c r="T3" s="46"/>
      <c r="U3" s="46"/>
      <c r="V3" s="46"/>
      <c r="W3" s="50"/>
      <c r="X3" s="46"/>
      <c r="Y3" s="46"/>
      <c r="Z3" s="46"/>
      <c r="AA3" s="50"/>
      <c r="AB3" s="46"/>
      <c r="AC3" s="46"/>
      <c r="AD3" s="46"/>
      <c r="AE3" s="50"/>
      <c r="AI3" s="56"/>
      <c r="AM3" s="56"/>
      <c r="AN3" s="47"/>
      <c r="AO3" s="47"/>
      <c r="AP3" s="47"/>
      <c r="AQ3" s="56"/>
      <c r="AU3" s="56"/>
      <c r="AY3" s="56"/>
      <c r="BC3" s="56"/>
      <c r="BG3" s="56"/>
      <c r="BK3" s="56"/>
      <c r="BO3" s="56"/>
      <c r="BS3" s="56"/>
      <c r="BW3" s="56"/>
      <c r="CA3" s="56"/>
      <c r="CE3" s="56"/>
      <c r="CG3" s="47"/>
      <c r="CH3" s="47"/>
      <c r="CI3" s="47"/>
      <c r="CJ3" s="48"/>
      <c r="CM3" s="47" t="s">
        <v>101</v>
      </c>
      <c r="CN3" s="47"/>
      <c r="CO3" s="47"/>
      <c r="CP3" s="47"/>
    </row>
    <row r="4" spans="1:114" s="45" customFormat="1" ht="21">
      <c r="F4" s="47"/>
      <c r="G4" s="47"/>
      <c r="H4" s="46"/>
      <c r="I4" s="46"/>
      <c r="J4" s="46"/>
      <c r="K4" s="50"/>
      <c r="L4" s="46"/>
      <c r="M4" s="46"/>
      <c r="N4" s="46"/>
      <c r="O4" s="50"/>
      <c r="P4" s="46"/>
      <c r="Q4" s="46"/>
      <c r="R4" s="46"/>
      <c r="S4" s="50"/>
      <c r="T4" s="46"/>
      <c r="U4" s="46"/>
      <c r="V4" s="46"/>
      <c r="W4" s="50"/>
      <c r="X4" s="46"/>
      <c r="Y4" s="46"/>
      <c r="Z4" s="46"/>
      <c r="AA4" s="50"/>
      <c r="AB4" s="46"/>
      <c r="AC4" s="46"/>
      <c r="AD4" s="46"/>
      <c r="AE4" s="50"/>
      <c r="AI4" s="56"/>
      <c r="AM4" s="56"/>
      <c r="AN4" s="47"/>
      <c r="AO4" s="47"/>
      <c r="AP4" s="47"/>
      <c r="AQ4" s="56"/>
      <c r="AU4" s="56"/>
      <c r="AY4" s="56"/>
      <c r="BC4" s="56"/>
      <c r="BG4" s="56"/>
      <c r="BK4" s="56"/>
      <c r="BO4" s="56"/>
      <c r="BS4" s="56"/>
      <c r="BW4" s="56"/>
      <c r="CA4" s="56"/>
      <c r="CE4" s="56"/>
      <c r="CG4" s="47"/>
      <c r="CH4" s="47"/>
      <c r="CI4" s="66" t="s">
        <v>102</v>
      </c>
      <c r="CJ4" s="67"/>
      <c r="CK4" s="67"/>
      <c r="CL4" s="67"/>
      <c r="CM4" s="66"/>
      <c r="CN4" s="66" t="s">
        <v>67</v>
      </c>
      <c r="CO4" s="66" t="s">
        <v>88</v>
      </c>
      <c r="CP4" s="66" t="s">
        <v>89</v>
      </c>
    </row>
    <row r="5" spans="1:114" s="19" customFormat="1">
      <c r="H5" s="19" t="s">
        <v>68</v>
      </c>
      <c r="I5" s="32"/>
      <c r="J5" s="32"/>
      <c r="K5" s="51"/>
      <c r="L5" s="19" t="s">
        <v>68</v>
      </c>
      <c r="M5" s="32"/>
      <c r="N5" s="32"/>
      <c r="O5" s="51"/>
      <c r="P5" s="19" t="s">
        <v>68</v>
      </c>
      <c r="Q5" s="32"/>
      <c r="R5" s="32"/>
      <c r="S5" s="51"/>
      <c r="T5" s="19" t="s">
        <v>68</v>
      </c>
      <c r="U5" s="32"/>
      <c r="V5" s="32"/>
      <c r="W5" s="51"/>
      <c r="X5" s="19" t="s">
        <v>68</v>
      </c>
      <c r="Y5" s="32"/>
      <c r="Z5" s="32"/>
      <c r="AA5" s="51"/>
      <c r="AB5" s="19" t="s">
        <v>68</v>
      </c>
      <c r="AC5" s="32"/>
      <c r="AD5" s="32"/>
      <c r="AE5" s="51"/>
      <c r="AF5" s="19" t="s">
        <v>68</v>
      </c>
      <c r="AI5" s="57"/>
      <c r="AJ5" s="19" t="s">
        <v>68</v>
      </c>
      <c r="AM5" s="57"/>
      <c r="AN5" s="19" t="s">
        <v>68</v>
      </c>
      <c r="AQ5" s="57"/>
      <c r="AR5" s="19" t="s">
        <v>68</v>
      </c>
      <c r="AU5" s="57"/>
      <c r="AV5" s="19" t="s">
        <v>68</v>
      </c>
      <c r="AY5" s="57"/>
      <c r="AZ5" s="19" t="s">
        <v>68</v>
      </c>
      <c r="BC5" s="57"/>
      <c r="BD5" s="19" t="s">
        <v>68</v>
      </c>
      <c r="BG5" s="57"/>
      <c r="BH5" s="19" t="s">
        <v>68</v>
      </c>
      <c r="BK5" s="57"/>
      <c r="BL5" s="19" t="s">
        <v>68</v>
      </c>
      <c r="BO5" s="57"/>
      <c r="BP5" s="19" t="s">
        <v>68</v>
      </c>
      <c r="BS5" s="57"/>
      <c r="BT5" s="19" t="s">
        <v>68</v>
      </c>
      <c r="BW5" s="57"/>
      <c r="BX5" s="19" t="s">
        <v>68</v>
      </c>
      <c r="CA5" s="57"/>
      <c r="CB5" s="19" t="s">
        <v>68</v>
      </c>
      <c r="CE5" s="57"/>
      <c r="CI5" s="68">
        <f>AVERAGE(CJ13:CJ31)</f>
        <v>314.66578947368424</v>
      </c>
      <c r="CM5" s="38">
        <v>0</v>
      </c>
      <c r="CN5" s="44">
        <f>CI5</f>
        <v>314.66578947368424</v>
      </c>
      <c r="CO5" s="44">
        <f>CN5+CI7</f>
        <v>344.23245614035062</v>
      </c>
      <c r="CP5" s="44">
        <f>CN5-CI7</f>
        <v>285.09912280701786</v>
      </c>
    </row>
    <row r="6" spans="1:114" s="19" customFormat="1">
      <c r="H6" s="34" t="s">
        <v>70</v>
      </c>
      <c r="I6" s="32"/>
      <c r="J6" s="32"/>
      <c r="K6" s="51"/>
      <c r="L6" s="35" t="s">
        <v>71</v>
      </c>
      <c r="M6" s="32"/>
      <c r="N6" s="32"/>
      <c r="O6" s="51"/>
      <c r="P6" s="35" t="s">
        <v>72</v>
      </c>
      <c r="Q6" s="32"/>
      <c r="R6" s="32"/>
      <c r="S6" s="51"/>
      <c r="T6" s="32" t="s">
        <v>73</v>
      </c>
      <c r="U6" s="32"/>
      <c r="V6" s="32"/>
      <c r="W6" s="51"/>
      <c r="X6" s="35" t="s">
        <v>74</v>
      </c>
      <c r="Y6" s="32"/>
      <c r="Z6" s="32"/>
      <c r="AA6" s="51"/>
      <c r="AB6" s="35" t="s">
        <v>75</v>
      </c>
      <c r="AC6" s="32"/>
      <c r="AD6" s="32"/>
      <c r="AE6" s="51"/>
      <c r="AF6" s="19" t="s">
        <v>76</v>
      </c>
      <c r="AI6" s="57"/>
      <c r="AJ6" s="35" t="s">
        <v>77</v>
      </c>
      <c r="AM6" s="57"/>
      <c r="AN6" s="35">
        <v>3313</v>
      </c>
      <c r="AQ6" s="57"/>
      <c r="AR6" s="19" t="s">
        <v>78</v>
      </c>
      <c r="AU6" s="57"/>
      <c r="AV6" s="35" t="s">
        <v>79</v>
      </c>
      <c r="AY6" s="57"/>
      <c r="AZ6" s="19" t="s">
        <v>80</v>
      </c>
      <c r="BC6" s="57"/>
      <c r="BD6" s="19" t="s">
        <v>81</v>
      </c>
      <c r="BG6" s="57"/>
      <c r="BH6" s="19" t="s">
        <v>82</v>
      </c>
      <c r="BK6" s="57"/>
      <c r="BL6" s="19" t="s">
        <v>83</v>
      </c>
      <c r="BO6" s="57"/>
      <c r="BP6" s="19" t="s">
        <v>84</v>
      </c>
      <c r="BS6" s="57"/>
      <c r="BT6" s="35" t="s">
        <v>85</v>
      </c>
      <c r="BW6" s="57"/>
      <c r="BX6" s="35" t="s">
        <v>86</v>
      </c>
      <c r="CA6" s="57"/>
      <c r="CB6" s="35" t="s">
        <v>87</v>
      </c>
      <c r="CE6" s="57"/>
      <c r="CI6" s="69" t="s">
        <v>69</v>
      </c>
      <c r="CM6" s="19">
        <v>20</v>
      </c>
      <c r="CN6" s="44">
        <f>CN5</f>
        <v>314.66578947368424</v>
      </c>
      <c r="CO6" s="44">
        <f t="shared" ref="CO6:CP6" si="0">CO5</f>
        <v>344.23245614035062</v>
      </c>
      <c r="CP6" s="44">
        <f t="shared" si="0"/>
        <v>285.09912280701786</v>
      </c>
    </row>
    <row r="7" spans="1:114">
      <c r="H7" s="32" t="s">
        <v>59</v>
      </c>
      <c r="I7" s="37">
        <f>SLOPE(H10:J10,H11:J11)</f>
        <v>318.76666666666711</v>
      </c>
      <c r="J7" s="32" t="s">
        <v>90</v>
      </c>
      <c r="K7" s="51"/>
      <c r="L7" s="32" t="s">
        <v>59</v>
      </c>
      <c r="M7" s="37">
        <f>SLOPE(L10:N10,L11:N11)</f>
        <v>295.76666666666699</v>
      </c>
      <c r="N7" s="32" t="s">
        <v>90</v>
      </c>
      <c r="O7" s="51"/>
      <c r="P7" s="32" t="s">
        <v>59</v>
      </c>
      <c r="Q7" s="37">
        <f>SLOPE(P10:R10,P11:R11)</f>
        <v>317.11666666666679</v>
      </c>
      <c r="R7" s="32" t="s">
        <v>90</v>
      </c>
      <c r="S7" s="51"/>
      <c r="T7" s="32" t="s">
        <v>59</v>
      </c>
      <c r="U7" s="37">
        <f>SLOPE(T10:V10,T11:V11)</f>
        <v>295.29999999999973</v>
      </c>
      <c r="V7" s="32" t="s">
        <v>90</v>
      </c>
      <c r="W7" s="51"/>
      <c r="X7" s="32" t="s">
        <v>59</v>
      </c>
      <c r="Y7" s="37">
        <f>SLOPE(X10:Z10,X11:Z11)</f>
        <v>303.26666666666654</v>
      </c>
      <c r="Z7" s="32" t="s">
        <v>90</v>
      </c>
      <c r="AA7" s="51"/>
      <c r="AB7" s="32" t="s">
        <v>59</v>
      </c>
      <c r="AC7" s="37">
        <f>SLOPE(AB10:AD10,AB11:AD11)</f>
        <v>279.9500000000005</v>
      </c>
      <c r="AD7" s="32" t="s">
        <v>90</v>
      </c>
      <c r="AE7" s="51"/>
      <c r="AF7" s="32" t="s">
        <v>59</v>
      </c>
      <c r="AG7" s="37">
        <f>SLOPE(AF10:AH10,AF11:AH11)</f>
        <v>284.0500000000003</v>
      </c>
      <c r="AH7" s="32" t="s">
        <v>90</v>
      </c>
      <c r="AI7" s="58"/>
      <c r="AJ7" s="32" t="s">
        <v>59</v>
      </c>
      <c r="AK7" s="37">
        <f>SLOPE(AJ10:AL10,AJ11:AL11)</f>
        <v>294.8499999999998</v>
      </c>
      <c r="AL7" s="32" t="s">
        <v>90</v>
      </c>
      <c r="AM7" s="58"/>
      <c r="AN7" s="32" t="s">
        <v>59</v>
      </c>
      <c r="AO7" s="37">
        <f>SLOPE(AN10:AP10,AN11:AP11)</f>
        <v>319.70000000000005</v>
      </c>
      <c r="AP7" s="32" t="s">
        <v>90</v>
      </c>
      <c r="AQ7" s="58"/>
      <c r="AR7" s="32" t="s">
        <v>59</v>
      </c>
      <c r="AS7" s="37">
        <f>SLOPE(AR10:AT10,AR11:AT11)</f>
        <v>305.48333333333335</v>
      </c>
      <c r="AT7" s="32" t="s">
        <v>90</v>
      </c>
      <c r="AU7" s="58"/>
      <c r="AV7" s="32" t="s">
        <v>59</v>
      </c>
      <c r="AW7" s="37">
        <f>SLOPE(AV10:AX10,AV11:AX11)</f>
        <v>312.13333333333321</v>
      </c>
      <c r="AX7" s="32" t="s">
        <v>90</v>
      </c>
      <c r="AY7" s="58"/>
      <c r="AZ7" s="32" t="s">
        <v>59</v>
      </c>
      <c r="BA7" s="37">
        <f>SLOPE(AZ10:BB10,AZ11:BB11)</f>
        <v>329.5</v>
      </c>
      <c r="BB7" s="32" t="s">
        <v>90</v>
      </c>
      <c r="BC7" s="58"/>
      <c r="BD7" s="32" t="s">
        <v>59</v>
      </c>
      <c r="BE7" s="37">
        <f>SLOPE(BD10:BF10,BD11:BF11)</f>
        <v>326.08333333333394</v>
      </c>
      <c r="BF7" s="32" t="s">
        <v>90</v>
      </c>
      <c r="BG7" s="58"/>
      <c r="BH7" s="32" t="s">
        <v>59</v>
      </c>
      <c r="BI7" s="37">
        <f>SLOPE(BH10:BJ10,BH11:BJ11)</f>
        <v>330.51666666666688</v>
      </c>
      <c r="BJ7" s="32" t="s">
        <v>90</v>
      </c>
      <c r="BK7" s="51"/>
      <c r="BL7" s="32" t="s">
        <v>59</v>
      </c>
      <c r="BM7" s="37">
        <f>SLOPE(BL10:BN10,BL11:BN11)</f>
        <v>330.78333333333353</v>
      </c>
      <c r="BN7" s="32" t="s">
        <v>90</v>
      </c>
      <c r="BO7" s="58"/>
      <c r="BP7" s="32" t="s">
        <v>59</v>
      </c>
      <c r="BQ7" s="37">
        <f>SLOPE(BP10:BR10,BP11:BR11)</f>
        <v>339.08333333333326</v>
      </c>
      <c r="BR7" s="32" t="s">
        <v>90</v>
      </c>
      <c r="BS7" s="58"/>
      <c r="BT7" s="32" t="s">
        <v>59</v>
      </c>
      <c r="BU7" s="37">
        <f>SLOPE(BT10:BV10,BT11:BV11)</f>
        <v>332.90000000000009</v>
      </c>
      <c r="BV7" s="32" t="s">
        <v>90</v>
      </c>
      <c r="BW7" s="58"/>
      <c r="BX7" s="32" t="s">
        <v>59</v>
      </c>
      <c r="BY7" s="37">
        <f>SLOPE(BX10:BZ10,BX11:BZ11)</f>
        <v>327.36666666666588</v>
      </c>
      <c r="BZ7" s="32" t="s">
        <v>90</v>
      </c>
      <c r="CA7" s="58"/>
      <c r="CB7" s="32" t="s">
        <v>59</v>
      </c>
      <c r="CC7" s="37">
        <f>SLOPE(CB10:CD10,CB11:CD11)</f>
        <v>336.03333333333308</v>
      </c>
      <c r="CD7" s="32" t="s">
        <v>90</v>
      </c>
      <c r="CE7" s="58"/>
      <c r="CI7" s="44">
        <f>(MAX(CJ13:CJ31)-MIN(CJ13:CJ31))/2</f>
        <v>29.566666666666379</v>
      </c>
      <c r="CJ7" s="33">
        <f>CI7/CI5</f>
        <v>9.3962126344017655E-2</v>
      </c>
      <c r="CM7" t="s">
        <v>94</v>
      </c>
    </row>
    <row r="8" spans="1:114">
      <c r="A8" s="72" t="s">
        <v>100</v>
      </c>
      <c r="B8" s="73"/>
      <c r="C8" s="73"/>
      <c r="D8" s="73"/>
      <c r="G8" s="49" t="s">
        <v>99</v>
      </c>
      <c r="H8" s="39">
        <f>H9/H10</f>
        <v>-7.5891643133562905E-2</v>
      </c>
      <c r="I8" s="39">
        <f>I9/I10</f>
        <v>-4.3878248374717335E-2</v>
      </c>
      <c r="J8" s="39">
        <f t="shared" ref="J8" si="1">J9/J10</f>
        <v>-1.940804709327483E-2</v>
      </c>
      <c r="K8" s="52"/>
      <c r="L8" s="39">
        <f>L9/L10</f>
        <v>1.5824722541140812E-2</v>
      </c>
      <c r="M8" s="39">
        <f t="shared" ref="M8:N8" si="2">M9/M10</f>
        <v>2.1308405073273431E-2</v>
      </c>
      <c r="N8" s="39">
        <f t="shared" si="2"/>
        <v>2.5369254063937488E-2</v>
      </c>
      <c r="O8" s="52"/>
      <c r="P8" s="39">
        <f>P9/P10</f>
        <v>0.14592916092393027</v>
      </c>
      <c r="Q8" s="39">
        <f t="shared" ref="Q8:R8" si="3">Q9/Q10</f>
        <v>0.14272762595518712</v>
      </c>
      <c r="R8" s="39">
        <f t="shared" si="3"/>
        <v>0.13903189985867129</v>
      </c>
      <c r="S8" s="52"/>
      <c r="T8" s="39">
        <f>T9/T10</f>
        <v>0.15020487740400565</v>
      </c>
      <c r="U8" s="39">
        <f t="shared" ref="U8:V8" si="4">U9/U10</f>
        <v>0.13859968766267586</v>
      </c>
      <c r="V8" s="39">
        <f t="shared" si="4"/>
        <v>0.12796196416247022</v>
      </c>
      <c r="W8" s="52"/>
      <c r="X8" s="39">
        <f>X9/X10</f>
        <v>0.15118658613064059</v>
      </c>
      <c r="Y8" s="39">
        <f t="shared" ref="Y8:Z8" si="5">Y9/Y10</f>
        <v>0.14227092092380372</v>
      </c>
      <c r="Z8" s="39">
        <f t="shared" si="5"/>
        <v>0.13402716080720903</v>
      </c>
      <c r="AA8" s="52"/>
      <c r="AB8" s="39">
        <f>AB9/AB10</f>
        <v>0</v>
      </c>
      <c r="AC8" s="39">
        <f t="shared" ref="AC8:AD8" si="6">AC9/AC10</f>
        <v>0</v>
      </c>
      <c r="AD8" s="39">
        <f t="shared" si="6"/>
        <v>0</v>
      </c>
      <c r="AE8" s="52"/>
      <c r="AF8" s="39">
        <f>AF9/AF10</f>
        <v>-3.6872026449479491E-2</v>
      </c>
      <c r="AG8" s="39">
        <f t="shared" ref="AG8:AH8" si="7">AG9/AG10</f>
        <v>-3.0354919053549072E-2</v>
      </c>
      <c r="AH8" s="39">
        <f t="shared" si="7"/>
        <v>-2.3752006842018281E-2</v>
      </c>
      <c r="AI8" s="52"/>
      <c r="AJ8" s="39">
        <f>AJ9/AJ10</f>
        <v>0.10896869532075652</v>
      </c>
      <c r="AK8" s="39">
        <f t="shared" ref="AK8:AL8" si="8">AK9/AK10</f>
        <v>0.10181834629998206</v>
      </c>
      <c r="AL8" s="39">
        <f t="shared" si="8"/>
        <v>9.5260826902166543E-2</v>
      </c>
      <c r="AM8" s="52"/>
      <c r="AN8" s="39">
        <f>AN9/AN10</f>
        <v>0.10557526432943848</v>
      </c>
      <c r="AO8" s="39">
        <f t="shared" ref="AO8:AP8" si="9">AO9/AO10</f>
        <v>0.10860554549671589</v>
      </c>
      <c r="AP8" s="39">
        <f t="shared" si="9"/>
        <v>0.11026784549983051</v>
      </c>
      <c r="AQ8" s="52"/>
      <c r="AR8" s="39">
        <f>AR9/AR10</f>
        <v>2.0323809523810007E-2</v>
      </c>
      <c r="AS8" s="39">
        <f t="shared" ref="AS8:AT8" si="10">AS9/AS10</f>
        <v>2.8918412258538265E-2</v>
      </c>
      <c r="AT8" s="39">
        <f t="shared" si="10"/>
        <v>3.6694009515876216E-2</v>
      </c>
      <c r="AU8" s="52"/>
      <c r="AV8" s="39">
        <f>AV9/AV10</f>
        <v>0.16714436078050401</v>
      </c>
      <c r="AW8" s="39">
        <f t="shared" ref="AW8:AX8" si="11">AW9/AW10</f>
        <v>0.15961063694716776</v>
      </c>
      <c r="AX8" s="39">
        <f t="shared" si="11"/>
        <v>0.15224333088975298</v>
      </c>
      <c r="AY8" s="52"/>
      <c r="AZ8" s="39">
        <f>AZ9/AZ10</f>
        <v>0.28630699636444412</v>
      </c>
      <c r="BA8" s="39">
        <f t="shared" ref="BA8:BB8" si="12">BA9/BA10</f>
        <v>0.27149880154576139</v>
      </c>
      <c r="BB8" s="39">
        <f t="shared" si="12"/>
        <v>0.25704516747245093</v>
      </c>
      <c r="BC8" s="52"/>
      <c r="BD8" s="39">
        <f>BD9/BD10</f>
        <v>0.2716523167554098</v>
      </c>
      <c r="BE8" s="39">
        <f t="shared" ref="BE8:BF8" si="13">BE9/BE10</f>
        <v>0.25717314047010414</v>
      </c>
      <c r="BF8" s="39">
        <f t="shared" si="13"/>
        <v>0.24341047449019212</v>
      </c>
      <c r="BG8" s="52"/>
      <c r="BH8" s="39">
        <f>BH9/BH10</f>
        <v>0.25952000460703467</v>
      </c>
      <c r="BI8" s="39">
        <f t="shared" ref="BI8:BJ8" si="14">BI9/BI10</f>
        <v>0.24758440377401403</v>
      </c>
      <c r="BJ8" s="39">
        <f t="shared" si="14"/>
        <v>0.235860678687423</v>
      </c>
      <c r="BK8" s="52"/>
      <c r="BL8" s="39">
        <f>BL9/BL10</f>
        <v>0.26628054608482338</v>
      </c>
      <c r="BM8" s="39">
        <f t="shared" ref="BM8:BN8" si="15">BM9/BM10</f>
        <v>0.25367393728310317</v>
      </c>
      <c r="BN8" s="39">
        <f t="shared" si="15"/>
        <v>0.24143374913837204</v>
      </c>
      <c r="BO8" s="52"/>
      <c r="BP8" s="39">
        <f>BP9/BP10</f>
        <v>0.3162596546269098</v>
      </c>
      <c r="BQ8" s="39">
        <f t="shared" ref="BQ8:BR8" si="16">BQ9/BQ10</f>
        <v>0.3009821522864084</v>
      </c>
      <c r="BR8" s="39">
        <f t="shared" si="16"/>
        <v>0.28605809475975225</v>
      </c>
      <c r="BS8" s="52"/>
      <c r="BT8" s="39">
        <f>BT9/BT10</f>
        <v>0.23712548205280359</v>
      </c>
      <c r="BU8" s="39">
        <f t="shared" ref="BU8:BV8" si="17">BU9/BU10</f>
        <v>0.22826495316811538</v>
      </c>
      <c r="BV8" s="39">
        <f t="shared" si="17"/>
        <v>0.21928278829210235</v>
      </c>
      <c r="BW8" s="52"/>
      <c r="BX8" s="39">
        <f>BX9/BX10</f>
        <v>0.19969813434577688</v>
      </c>
      <c r="BY8" s="39">
        <f t="shared" ref="BY8:BZ8" si="18">BY9/BY10</f>
        <v>0.19367893881970766</v>
      </c>
      <c r="BZ8" s="39">
        <f t="shared" si="18"/>
        <v>0.18685719052783342</v>
      </c>
      <c r="CA8" s="52"/>
      <c r="CB8" s="39">
        <f>CB9/CB10</f>
        <v>0.16409881358686862</v>
      </c>
      <c r="CC8" s="39">
        <f t="shared" ref="CC8:CD8" si="19">CC9/CC10</f>
        <v>0.16566058348156146</v>
      </c>
      <c r="CD8" s="39">
        <f t="shared" si="19"/>
        <v>0.16478969788963402</v>
      </c>
      <c r="CE8" s="52"/>
      <c r="CF8" s="42" t="s">
        <v>100</v>
      </c>
      <c r="CK8" s="40"/>
      <c r="CM8" t="s">
        <v>103</v>
      </c>
    </row>
    <row r="9" spans="1:114">
      <c r="G9" s="49" t="s">
        <v>99</v>
      </c>
      <c r="H9" s="41">
        <f>H10-$AB$10</f>
        <v>-120.93333333333248</v>
      </c>
      <c r="I9" s="41">
        <f>I10-$AC$10</f>
        <v>-83.46666666666647</v>
      </c>
      <c r="J9" s="41">
        <f>J10-$AD$10</f>
        <v>-43.299999999999272</v>
      </c>
      <c r="K9" s="53"/>
      <c r="L9" s="41">
        <f>L10-$AB$10</f>
        <v>27.566666666667288</v>
      </c>
      <c r="M9" s="41">
        <f>M10-$AC$10</f>
        <v>43.233333333333576</v>
      </c>
      <c r="N9" s="41">
        <f>N10-$AD$10</f>
        <v>59.200000000000273</v>
      </c>
      <c r="O9" s="53"/>
      <c r="P9" s="41">
        <f>P10-$AB$10</f>
        <v>292.93333333333339</v>
      </c>
      <c r="Q9" s="41">
        <f>Q10-$AC$10</f>
        <v>330.59999999999991</v>
      </c>
      <c r="R9" s="41">
        <f>R10-$AD$10</f>
        <v>367.26666666666597</v>
      </c>
      <c r="S9" s="53"/>
      <c r="T9" s="41">
        <f>T10-$AB$10</f>
        <v>303.03333333333467</v>
      </c>
      <c r="U9" s="41">
        <f>U10-$AC$10</f>
        <v>319.50000000000045</v>
      </c>
      <c r="V9" s="41">
        <f>V10-$AD$10</f>
        <v>333.73333333333312</v>
      </c>
      <c r="W9" s="53"/>
      <c r="X9" s="41">
        <f>X10-$AB$10</f>
        <v>305.36666666666792</v>
      </c>
      <c r="Y9" s="41">
        <f>Y10-$AC$10</f>
        <v>329.36666666666724</v>
      </c>
      <c r="Z9" s="41">
        <f>Z10-$AD$10</f>
        <v>352</v>
      </c>
      <c r="AA9" s="53"/>
      <c r="AB9" s="41">
        <f>AB10-$AB$10</f>
        <v>0</v>
      </c>
      <c r="AC9" s="41">
        <f>AC10-$AC$10</f>
        <v>0</v>
      </c>
      <c r="AD9" s="41">
        <f>AD10-$AD$10</f>
        <v>0</v>
      </c>
      <c r="AE9" s="53"/>
      <c r="AF9" s="41">
        <f>AF10-$AB$10</f>
        <v>-60.966666666666015</v>
      </c>
      <c r="AG9" s="41">
        <f>AG10-$AC$10</f>
        <v>-58.499999999999773</v>
      </c>
      <c r="AH9" s="41">
        <f>AH10-$AD$10</f>
        <v>-52.766666666666424</v>
      </c>
      <c r="AI9" s="53"/>
      <c r="AJ9" s="41">
        <f>AJ10-$AB$10</f>
        <v>209.66666666666765</v>
      </c>
      <c r="AK9" s="41">
        <f>AK10-$AC$10</f>
        <v>225.10000000000036</v>
      </c>
      <c r="AL9" s="41">
        <f>AL10-$AD$10</f>
        <v>239.46666666666624</v>
      </c>
      <c r="AM9" s="53"/>
      <c r="AN9" s="41">
        <f>AN10-$AB$10</f>
        <v>202.3666666666677</v>
      </c>
      <c r="AO9" s="41">
        <f>AO10-$AC$10</f>
        <v>241.9333333333343</v>
      </c>
      <c r="AP9" s="41">
        <f>AP10-$AD$10</f>
        <v>281.86666666666679</v>
      </c>
      <c r="AQ9" s="53"/>
      <c r="AR9" s="41">
        <f>AR10-$AB$10</f>
        <v>35.566666666667516</v>
      </c>
      <c r="AS9" s="41">
        <f>AS10-$AC$10</f>
        <v>59.133333333334349</v>
      </c>
      <c r="AT9" s="41">
        <f>AT10-$AD$10</f>
        <v>86.633333333333212</v>
      </c>
      <c r="AU9" s="53"/>
      <c r="AV9" s="41">
        <f>AV10-$AB$10</f>
        <v>344.06666666666752</v>
      </c>
      <c r="AW9" s="41">
        <f>AW10-$AC$10</f>
        <v>377.13333333333276</v>
      </c>
      <c r="AX9" s="41">
        <f>AX10-$AD$10</f>
        <v>408.43333333333294</v>
      </c>
      <c r="AY9" s="53"/>
      <c r="AZ9" s="41">
        <f>AZ10-$AB$10</f>
        <v>687.76666666666779</v>
      </c>
      <c r="BA9" s="41">
        <f>BA10-$AC$10</f>
        <v>740.0333333333333</v>
      </c>
      <c r="BB9" s="41">
        <f>BB10-$AD$10</f>
        <v>786.86666666666679</v>
      </c>
      <c r="BC9" s="53"/>
      <c r="BD9" s="41">
        <f>BD10-$AB$10</f>
        <v>639.43333333333385</v>
      </c>
      <c r="BE9" s="41">
        <f>BE10-$AC$10</f>
        <v>687.4666666666667</v>
      </c>
      <c r="BF9" s="41">
        <f>BF10-$AD$10</f>
        <v>731.70000000000073</v>
      </c>
      <c r="BG9" s="53"/>
      <c r="BH9" s="41">
        <f>BH10-$AB$10</f>
        <v>600.86666666666724</v>
      </c>
      <c r="BI9" s="41">
        <f>BI10-$AC$10</f>
        <v>653.40000000000055</v>
      </c>
      <c r="BJ9" s="41">
        <f>BJ10-$AD$10</f>
        <v>702</v>
      </c>
      <c r="BK9" s="53"/>
      <c r="BL9" s="41">
        <f>BL10-$AB$10</f>
        <v>622.20000000000118</v>
      </c>
      <c r="BM9" s="41">
        <f>BM10-$AC$10</f>
        <v>674.93333333333385</v>
      </c>
      <c r="BN9" s="41">
        <f>BN10-$AD$10</f>
        <v>723.86666666666724</v>
      </c>
      <c r="BO9" s="53"/>
      <c r="BP9" s="41">
        <f>BP10-$AB$10</f>
        <v>793.00000000000136</v>
      </c>
      <c r="BQ9" s="41">
        <f>BQ10-$AC$10</f>
        <v>855.00000000000045</v>
      </c>
      <c r="BR9" s="41">
        <f>BR10-$AD$10</f>
        <v>911.26666666666688</v>
      </c>
      <c r="BS9" s="53"/>
      <c r="BT9" s="41">
        <f>BT10-$AB$10</f>
        <v>532.90000000000055</v>
      </c>
      <c r="BU9" s="41">
        <f>BU10-$AC$10</f>
        <v>587.33333333333303</v>
      </c>
      <c r="BV9" s="41">
        <f>BV10-$AD$10</f>
        <v>638.79999999999973</v>
      </c>
      <c r="BW9" s="53"/>
      <c r="BX9" s="41">
        <f>BX10-$AB$10</f>
        <v>427.80000000000155</v>
      </c>
      <c r="BY9" s="41">
        <f>BY10-$AC$10</f>
        <v>476.9666666666667</v>
      </c>
      <c r="BZ9" s="41">
        <f>BZ10-$AD$10</f>
        <v>522.6333333333323</v>
      </c>
      <c r="CA9" s="53"/>
      <c r="CB9" s="41">
        <f>CB10-$AB$10</f>
        <v>336.56666666666752</v>
      </c>
      <c r="CC9" s="41">
        <f>CC10-$AC$10</f>
        <v>394.26666666666688</v>
      </c>
      <c r="CD9" s="41">
        <f>CD10-$AD$10</f>
        <v>448.73333333333267</v>
      </c>
      <c r="CE9" s="53"/>
      <c r="CK9" s="40"/>
      <c r="CM9" t="s">
        <v>104</v>
      </c>
    </row>
    <row r="10" spans="1:114">
      <c r="B10" t="s">
        <v>105</v>
      </c>
      <c r="G10" s="19" t="s">
        <v>98</v>
      </c>
      <c r="H10" s="41">
        <f>SUM(H13:H48)/3</f>
        <v>1593.5</v>
      </c>
      <c r="I10" s="41">
        <f t="shared" ref="I10:J10" si="20">SUM(I13:I48)/3</f>
        <v>1902.2333333333333</v>
      </c>
      <c r="J10" s="41">
        <f t="shared" si="20"/>
        <v>2231.0333333333342</v>
      </c>
      <c r="K10" s="53"/>
      <c r="L10" s="41">
        <f>SUM(L13:L48)/3</f>
        <v>1741.9999999999998</v>
      </c>
      <c r="M10" s="41">
        <f t="shared" ref="M10:N10" si="21">SUM(M13:M48)/3</f>
        <v>2028.9333333333334</v>
      </c>
      <c r="N10" s="41">
        <f t="shared" si="21"/>
        <v>2333.5333333333338</v>
      </c>
      <c r="O10" s="53"/>
      <c r="P10" s="41">
        <f>SUM(P13:P48)/3</f>
        <v>2007.3666666666659</v>
      </c>
      <c r="Q10" s="41">
        <f t="shared" ref="Q10:R10" si="22">SUM(Q13:Q48)/3</f>
        <v>2316.2999999999997</v>
      </c>
      <c r="R10" s="41">
        <f t="shared" si="22"/>
        <v>2641.5999999999995</v>
      </c>
      <c r="S10" s="53"/>
      <c r="T10" s="41">
        <f>SUM(T13:T48)/3</f>
        <v>2017.4666666666672</v>
      </c>
      <c r="U10" s="41">
        <f t="shared" ref="U10:V10" si="23">SUM(U13:U48)/3</f>
        <v>2305.2000000000003</v>
      </c>
      <c r="V10" s="41">
        <f t="shared" si="23"/>
        <v>2608.0666666666666</v>
      </c>
      <c r="W10" s="53"/>
      <c r="X10" s="41">
        <f>SUM(X13:X48)/3</f>
        <v>2019.8000000000004</v>
      </c>
      <c r="Y10" s="41">
        <f t="shared" ref="Y10:Z10" si="24">SUM(Y13:Y48)/3</f>
        <v>2315.0666666666671</v>
      </c>
      <c r="Z10" s="41">
        <f t="shared" si="24"/>
        <v>2626.3333333333335</v>
      </c>
      <c r="AA10" s="53"/>
      <c r="AB10" s="41">
        <f>SUM(AB13:AB48)/3</f>
        <v>1714.4333333333325</v>
      </c>
      <c r="AC10" s="41">
        <f t="shared" ref="AC10:AD10" si="25">SUM(AC13:AC48)/3</f>
        <v>1985.6999999999998</v>
      </c>
      <c r="AD10" s="41">
        <f t="shared" si="25"/>
        <v>2274.3333333333335</v>
      </c>
      <c r="AE10" s="53"/>
      <c r="AF10" s="41">
        <f>SUM(AF13:AF48)/3</f>
        <v>1653.4666666666665</v>
      </c>
      <c r="AG10" s="41">
        <f t="shared" ref="AG10:AH10" si="26">SUM(AG13:AG48)/3</f>
        <v>1927.2</v>
      </c>
      <c r="AH10" s="41">
        <f t="shared" si="26"/>
        <v>2221.5666666666671</v>
      </c>
      <c r="AI10" s="53"/>
      <c r="AJ10" s="41">
        <f>SUM(AJ13:AJ48)/3</f>
        <v>1924.1000000000001</v>
      </c>
      <c r="AK10" s="41">
        <f t="shared" ref="AK10:AL10" si="27">SUM(AK13:AK48)/3</f>
        <v>2210.8000000000002</v>
      </c>
      <c r="AL10" s="41">
        <f t="shared" si="27"/>
        <v>2513.7999999999997</v>
      </c>
      <c r="AM10" s="53"/>
      <c r="AN10" s="41">
        <f>SUM(AN13:AN48)/3</f>
        <v>1916.8000000000002</v>
      </c>
      <c r="AO10" s="41">
        <f t="shared" ref="AO10:AP10" si="28">SUM(AO13:AO48)/3</f>
        <v>2227.6333333333341</v>
      </c>
      <c r="AP10" s="41">
        <f t="shared" si="28"/>
        <v>2556.2000000000003</v>
      </c>
      <c r="AQ10" s="53"/>
      <c r="AR10" s="41">
        <f>SUM(AR13:AR48)/3</f>
        <v>1750</v>
      </c>
      <c r="AS10" s="41">
        <f t="shared" ref="AS10:AT10" si="29">SUM(AS13:AS48)/3</f>
        <v>2044.8333333333342</v>
      </c>
      <c r="AT10" s="41">
        <f t="shared" si="29"/>
        <v>2360.9666666666667</v>
      </c>
      <c r="AU10" s="53"/>
      <c r="AV10" s="41">
        <f>SUM(AV13:AV48)/3</f>
        <v>2058.5</v>
      </c>
      <c r="AW10" s="41">
        <f t="shared" ref="AW10:AX10" si="30">SUM(AW13:AW48)/3</f>
        <v>2362.8333333333326</v>
      </c>
      <c r="AX10" s="41">
        <f t="shared" si="30"/>
        <v>2682.7666666666664</v>
      </c>
      <c r="AY10" s="53"/>
      <c r="AZ10" s="41">
        <f>SUM(AZ13:AZ48)/3</f>
        <v>2402.2000000000003</v>
      </c>
      <c r="BA10" s="41">
        <f t="shared" ref="BA10:BB10" si="31">SUM(BA13:BA48)/3</f>
        <v>2725.7333333333331</v>
      </c>
      <c r="BB10" s="41">
        <f t="shared" si="31"/>
        <v>3061.2000000000003</v>
      </c>
      <c r="BC10" s="53"/>
      <c r="BD10" s="41">
        <f>SUM(BD13:BD48)/3</f>
        <v>2353.8666666666663</v>
      </c>
      <c r="BE10" s="41">
        <f t="shared" ref="BE10:BF10" si="32">SUM(BE13:BE48)/3</f>
        <v>2673.1666666666665</v>
      </c>
      <c r="BF10" s="41">
        <f t="shared" si="32"/>
        <v>3006.0333333333342</v>
      </c>
      <c r="BG10" s="53"/>
      <c r="BH10" s="41">
        <f>SUM(BH13:BH48)/3</f>
        <v>2315.2999999999997</v>
      </c>
      <c r="BI10" s="41">
        <f t="shared" ref="BI10:BJ10" si="33">SUM(BI13:BI48)/3</f>
        <v>2639.1000000000004</v>
      </c>
      <c r="BJ10" s="41">
        <f t="shared" si="33"/>
        <v>2976.3333333333335</v>
      </c>
      <c r="BK10" s="53"/>
      <c r="BL10" s="41">
        <f>SUM(BL13:BL48)/3</f>
        <v>2336.6333333333337</v>
      </c>
      <c r="BM10" s="41">
        <f t="shared" ref="BM10:BN10" si="34">SUM(BM13:BM48)/3</f>
        <v>2660.6333333333337</v>
      </c>
      <c r="BN10" s="41">
        <f t="shared" si="34"/>
        <v>2998.2000000000007</v>
      </c>
      <c r="BO10" s="53"/>
      <c r="BP10" s="41">
        <f>SUM(BP13:BP48)/3</f>
        <v>2507.4333333333338</v>
      </c>
      <c r="BQ10" s="41">
        <f t="shared" ref="BQ10:BR10" si="35">SUM(BQ13:BQ48)/3</f>
        <v>2840.7000000000003</v>
      </c>
      <c r="BR10" s="41">
        <f t="shared" si="35"/>
        <v>3185.6000000000004</v>
      </c>
      <c r="BS10" s="53"/>
      <c r="BT10" s="41">
        <f>SUM(BT13:BT48)/3</f>
        <v>2247.333333333333</v>
      </c>
      <c r="BU10" s="41">
        <f>SUM(BU13:BU48)/3</f>
        <v>2573.0333333333328</v>
      </c>
      <c r="BV10" s="41">
        <f t="shared" ref="BV10" si="36">SUM(BV13:BV48)/3</f>
        <v>2913.1333333333332</v>
      </c>
      <c r="BW10" s="53"/>
      <c r="BX10" s="41">
        <f>SUM(BX13:BX48)/3</f>
        <v>2142.233333333334</v>
      </c>
      <c r="BY10" s="41">
        <f>SUM(BY13:BY48)/3</f>
        <v>2462.6666666666665</v>
      </c>
      <c r="BZ10" s="41">
        <f t="shared" ref="BZ10" si="37">SUM(BZ13:BZ48)/3</f>
        <v>2796.9666666666658</v>
      </c>
      <c r="CA10" s="53"/>
      <c r="CB10" s="41">
        <f>SUM(CB13:CB48)/3</f>
        <v>2051</v>
      </c>
      <c r="CC10" s="41">
        <f>SUM(CC13:CC48)/3</f>
        <v>2379.9666666666667</v>
      </c>
      <c r="CD10" s="41">
        <f t="shared" ref="CD10" si="38">SUM(CD13:CD48)/3</f>
        <v>2723.0666666666662</v>
      </c>
      <c r="CE10" s="53"/>
      <c r="CG10" s="19" t="s">
        <v>95</v>
      </c>
      <c r="CK10" s="40"/>
    </row>
    <row r="11" spans="1:114">
      <c r="B11" s="19" t="s">
        <v>58</v>
      </c>
      <c r="C11" s="19" t="s">
        <v>58</v>
      </c>
      <c r="D11" s="19" t="s">
        <v>58</v>
      </c>
      <c r="G11" s="19" t="s">
        <v>91</v>
      </c>
      <c r="H11" s="32">
        <v>15.5</v>
      </c>
      <c r="I11" s="32">
        <v>16.5</v>
      </c>
      <c r="J11" s="32">
        <v>17.5</v>
      </c>
      <c r="K11" s="51"/>
      <c r="L11" s="32">
        <v>15.5</v>
      </c>
      <c r="M11" s="32">
        <v>16.5</v>
      </c>
      <c r="N11" s="32">
        <v>17.5</v>
      </c>
      <c r="O11" s="51"/>
      <c r="P11" s="32">
        <v>15.5</v>
      </c>
      <c r="Q11" s="32">
        <v>16.5</v>
      </c>
      <c r="R11" s="32">
        <v>17.5</v>
      </c>
      <c r="S11" s="51"/>
      <c r="T11" s="32">
        <v>15.5</v>
      </c>
      <c r="U11" s="32">
        <v>16.5</v>
      </c>
      <c r="V11" s="32">
        <v>17.5</v>
      </c>
      <c r="W11" s="51"/>
      <c r="X11" s="32">
        <v>15.5</v>
      </c>
      <c r="Y11" s="32">
        <v>16.5</v>
      </c>
      <c r="Z11" s="32">
        <v>17.5</v>
      </c>
      <c r="AA11" s="51"/>
      <c r="AB11" s="32">
        <v>15.5</v>
      </c>
      <c r="AC11" s="32">
        <v>16.5</v>
      </c>
      <c r="AD11" s="32">
        <v>17.5</v>
      </c>
      <c r="AE11" s="51"/>
      <c r="AF11" s="32">
        <v>15.5</v>
      </c>
      <c r="AG11" s="32">
        <v>16.5</v>
      </c>
      <c r="AH11" s="32">
        <v>17.5</v>
      </c>
      <c r="AI11" s="58"/>
      <c r="AJ11" s="32">
        <v>15.5</v>
      </c>
      <c r="AK11" s="32">
        <v>16.5</v>
      </c>
      <c r="AL11" s="32">
        <v>17.5</v>
      </c>
      <c r="AM11" s="58"/>
      <c r="AN11" s="32">
        <v>15.5</v>
      </c>
      <c r="AO11" s="32">
        <v>16.5</v>
      </c>
      <c r="AP11" s="32">
        <v>17.5</v>
      </c>
      <c r="AQ11" s="58"/>
      <c r="AR11" s="32">
        <v>15.5</v>
      </c>
      <c r="AS11" s="32">
        <v>16.5</v>
      </c>
      <c r="AT11" s="32">
        <v>17.5</v>
      </c>
      <c r="AU11" s="58"/>
      <c r="AV11" s="32">
        <v>15.5</v>
      </c>
      <c r="AW11" s="32">
        <v>16.5</v>
      </c>
      <c r="AX11" s="32">
        <v>17.5</v>
      </c>
      <c r="AY11" s="58"/>
      <c r="AZ11" s="32">
        <v>15.5</v>
      </c>
      <c r="BA11" s="32">
        <v>16.5</v>
      </c>
      <c r="BB11" s="32">
        <v>17.5</v>
      </c>
      <c r="BC11" s="58"/>
      <c r="BD11" s="32">
        <v>15.5</v>
      </c>
      <c r="BE11" s="32">
        <v>16.5</v>
      </c>
      <c r="BF11" s="32">
        <v>17.5</v>
      </c>
      <c r="BG11" s="58"/>
      <c r="BH11" s="32">
        <v>15.5</v>
      </c>
      <c r="BI11" s="32">
        <v>16.5</v>
      </c>
      <c r="BJ11" s="32">
        <v>17.5</v>
      </c>
      <c r="BK11" s="51"/>
      <c r="BL11" s="32">
        <v>15.5</v>
      </c>
      <c r="BM11" s="32">
        <v>16.5</v>
      </c>
      <c r="BN11" s="32">
        <v>17.5</v>
      </c>
      <c r="BO11" s="58"/>
      <c r="BP11" s="32">
        <v>15.5</v>
      </c>
      <c r="BQ11" s="32">
        <v>16.5</v>
      </c>
      <c r="BR11" s="32">
        <v>17.5</v>
      </c>
      <c r="BS11" s="58"/>
      <c r="BT11" s="32">
        <v>15.5</v>
      </c>
      <c r="BU11" s="32">
        <v>16.5</v>
      </c>
      <c r="BV11" s="32">
        <v>17.5</v>
      </c>
      <c r="BW11" s="58"/>
      <c r="BX11" s="32">
        <v>15.5</v>
      </c>
      <c r="BY11" s="32">
        <v>16.5</v>
      </c>
      <c r="BZ11" s="32">
        <v>17.5</v>
      </c>
      <c r="CA11" s="58"/>
      <c r="CB11" s="32">
        <v>15.5</v>
      </c>
      <c r="CC11" s="32">
        <v>16.5</v>
      </c>
      <c r="CD11" s="32">
        <v>17.5</v>
      </c>
      <c r="CE11" s="58"/>
      <c r="CG11" s="19" t="s">
        <v>58</v>
      </c>
      <c r="CH11" s="19" t="s">
        <v>58</v>
      </c>
      <c r="CI11" s="19" t="s">
        <v>58</v>
      </c>
      <c r="CK11" s="40"/>
      <c r="CM11" s="19"/>
      <c r="CN11" s="19"/>
      <c r="CO11" s="19"/>
    </row>
    <row r="12" spans="1:114" ht="16.5" thickBot="1">
      <c r="A12" s="60"/>
      <c r="B12" s="70">
        <v>15.5</v>
      </c>
      <c r="C12" s="70">
        <v>16.5</v>
      </c>
      <c r="D12" s="70">
        <v>17.5</v>
      </c>
      <c r="E12" s="70" t="s">
        <v>59</v>
      </c>
      <c r="F12" s="70"/>
      <c r="G12" s="70"/>
      <c r="H12" s="61" t="s">
        <v>9</v>
      </c>
      <c r="I12" s="62"/>
      <c r="J12" s="62"/>
      <c r="K12" s="62"/>
      <c r="L12" s="61" t="s">
        <v>17</v>
      </c>
      <c r="M12" s="62"/>
      <c r="N12" s="62"/>
      <c r="O12" s="62"/>
      <c r="P12" s="61" t="s">
        <v>29</v>
      </c>
      <c r="Q12" s="62"/>
      <c r="R12" s="62"/>
      <c r="S12" s="62"/>
      <c r="T12" s="63" t="s">
        <v>92</v>
      </c>
      <c r="U12" s="62"/>
      <c r="V12" s="62"/>
      <c r="W12" s="62"/>
      <c r="X12" s="61" t="s">
        <v>25</v>
      </c>
      <c r="Y12" s="62"/>
      <c r="Z12" s="62"/>
      <c r="AA12" s="62"/>
      <c r="AB12" s="61" t="s">
        <v>15</v>
      </c>
      <c r="AC12" s="62"/>
      <c r="AD12" s="62"/>
      <c r="AE12" s="62"/>
      <c r="AF12" s="61" t="s">
        <v>13</v>
      </c>
      <c r="AG12" s="62"/>
      <c r="AH12" s="62"/>
      <c r="AI12" s="62"/>
      <c r="AJ12" s="61" t="s">
        <v>20</v>
      </c>
      <c r="AK12" s="62"/>
      <c r="AL12" s="62"/>
      <c r="AM12" s="62"/>
      <c r="AN12" s="61" t="s">
        <v>93</v>
      </c>
      <c r="AO12" s="62"/>
      <c r="AP12" s="62"/>
      <c r="AQ12" s="62"/>
      <c r="AR12" s="61" t="s">
        <v>18</v>
      </c>
      <c r="AS12" s="62"/>
      <c r="AT12" s="62"/>
      <c r="AU12" s="62"/>
      <c r="AV12" s="61" t="s">
        <v>32</v>
      </c>
      <c r="AW12" s="61"/>
      <c r="AX12" s="61"/>
      <c r="AY12" s="61"/>
      <c r="AZ12" s="61" t="s">
        <v>39</v>
      </c>
      <c r="BA12" s="61"/>
      <c r="BB12" s="61"/>
      <c r="BC12" s="61"/>
      <c r="BD12" s="61" t="s">
        <v>38</v>
      </c>
      <c r="BE12" s="61"/>
      <c r="BF12" s="61"/>
      <c r="BG12" s="61"/>
      <c r="BH12" s="61" t="s">
        <v>36</v>
      </c>
      <c r="BI12" s="61"/>
      <c r="BJ12" s="61"/>
      <c r="BK12" s="61"/>
      <c r="BL12" s="61" t="s">
        <v>37</v>
      </c>
      <c r="BM12" s="61"/>
      <c r="BN12" s="61"/>
      <c r="BO12" s="61"/>
      <c r="BP12" s="61" t="s">
        <v>40</v>
      </c>
      <c r="BQ12" s="61"/>
      <c r="BR12" s="61"/>
      <c r="BS12" s="61"/>
      <c r="BT12" s="61" t="s">
        <v>35</v>
      </c>
      <c r="BU12" s="61"/>
      <c r="BV12" s="61"/>
      <c r="BW12" s="61"/>
      <c r="BX12" s="61" t="s">
        <v>34</v>
      </c>
      <c r="BY12" s="61"/>
      <c r="BZ12" s="61"/>
      <c r="CA12" s="61"/>
      <c r="CB12" s="61" t="s">
        <v>33</v>
      </c>
      <c r="CC12" s="61"/>
      <c r="CD12" s="61"/>
      <c r="CE12" s="61"/>
      <c r="CG12" s="64">
        <v>15.5</v>
      </c>
      <c r="CH12" s="64">
        <v>16.5</v>
      </c>
      <c r="CI12" s="64">
        <v>17.5</v>
      </c>
      <c r="CJ12" s="64" t="s">
        <v>59</v>
      </c>
      <c r="CK12" s="65"/>
      <c r="CL12" s="42"/>
      <c r="CM12" s="38"/>
      <c r="CN12" s="38"/>
      <c r="CO12" s="38"/>
    </row>
    <row r="13" spans="1:114" ht="16.5" thickTop="1">
      <c r="A13" s="93" t="s">
        <v>9</v>
      </c>
      <c r="B13" s="92">
        <v>1593.5</v>
      </c>
      <c r="C13" s="92">
        <v>1902.2333333333333</v>
      </c>
      <c r="D13" s="92">
        <v>2231.0333333333342</v>
      </c>
      <c r="E13" s="92">
        <v>318.76666666666699</v>
      </c>
      <c r="F13" s="19">
        <v>1</v>
      </c>
      <c r="G13" s="71">
        <v>43678</v>
      </c>
      <c r="H13" s="34">
        <v>10.6</v>
      </c>
      <c r="I13" s="34">
        <v>23.6</v>
      </c>
      <c r="J13" s="35">
        <v>43.6</v>
      </c>
      <c r="K13" s="54"/>
      <c r="L13" s="35">
        <v>27.6</v>
      </c>
      <c r="M13" s="35">
        <v>40</v>
      </c>
      <c r="N13" s="35">
        <v>55.6</v>
      </c>
      <c r="O13" s="54"/>
      <c r="P13" s="36">
        <v>22.4</v>
      </c>
      <c r="Q13" s="35">
        <v>38.200000000000003</v>
      </c>
      <c r="R13" s="35">
        <v>58.6</v>
      </c>
      <c r="S13" s="54"/>
      <c r="T13" s="35">
        <v>24.7</v>
      </c>
      <c r="U13" s="35">
        <v>36.700000000000003</v>
      </c>
      <c r="V13" s="35">
        <v>51.5</v>
      </c>
      <c r="W13" s="54"/>
      <c r="X13" s="35">
        <v>18.899999999999999</v>
      </c>
      <c r="Y13" s="35">
        <v>30.6</v>
      </c>
      <c r="Z13" s="35">
        <v>47.1</v>
      </c>
      <c r="AA13" s="54"/>
      <c r="AB13" s="35">
        <v>9.6999999999999993</v>
      </c>
      <c r="AC13" s="35">
        <v>17.2</v>
      </c>
      <c r="AD13" s="35">
        <v>28.3</v>
      </c>
      <c r="AE13" s="55"/>
      <c r="AF13" s="35">
        <v>12</v>
      </c>
      <c r="AG13" s="35">
        <v>18.5</v>
      </c>
      <c r="AH13" s="35">
        <v>27.9</v>
      </c>
      <c r="AI13" s="55"/>
      <c r="AJ13" s="36">
        <v>18.600000000000001</v>
      </c>
      <c r="AK13" s="36">
        <v>28.5</v>
      </c>
      <c r="AL13" s="36">
        <v>41.1</v>
      </c>
      <c r="AM13" s="55"/>
      <c r="AN13" s="35">
        <v>17.600000000000001</v>
      </c>
      <c r="AO13" s="35">
        <v>31.2</v>
      </c>
      <c r="AP13" s="35">
        <v>50.1</v>
      </c>
      <c r="AQ13" s="55"/>
      <c r="AR13" s="35">
        <v>10.7</v>
      </c>
      <c r="AS13" s="35">
        <v>19.899999999999999</v>
      </c>
      <c r="AT13" s="35">
        <v>35.9</v>
      </c>
      <c r="AU13" s="55"/>
      <c r="AV13" s="36">
        <v>22.6</v>
      </c>
      <c r="AW13" s="36">
        <v>36.200000000000003</v>
      </c>
      <c r="AX13" s="36">
        <v>55</v>
      </c>
      <c r="AY13" s="55"/>
      <c r="AZ13" s="35">
        <v>28.7</v>
      </c>
      <c r="BA13" s="35">
        <v>46.5</v>
      </c>
      <c r="BB13" s="35">
        <v>67.8</v>
      </c>
      <c r="BC13" s="55"/>
      <c r="BD13" s="35">
        <v>37</v>
      </c>
      <c r="BE13" s="35">
        <v>54.3</v>
      </c>
      <c r="BF13" s="35">
        <v>76.599999999999994</v>
      </c>
      <c r="BG13" s="55"/>
      <c r="BH13" s="35">
        <v>35.200000000000003</v>
      </c>
      <c r="BI13" s="35">
        <v>54.6</v>
      </c>
      <c r="BJ13" s="35">
        <v>78.3</v>
      </c>
      <c r="BK13" s="55"/>
      <c r="BL13" s="35">
        <v>35</v>
      </c>
      <c r="BM13" s="35">
        <v>53</v>
      </c>
      <c r="BN13" s="35">
        <v>75.3</v>
      </c>
      <c r="BO13" s="59"/>
      <c r="BP13" s="35">
        <v>44.7</v>
      </c>
      <c r="BQ13" s="35">
        <v>65.3</v>
      </c>
      <c r="BR13" s="35">
        <v>89.7</v>
      </c>
      <c r="BS13" s="55"/>
      <c r="BT13" s="35">
        <v>36.799999999999997</v>
      </c>
      <c r="BU13" s="35">
        <v>55.7</v>
      </c>
      <c r="BV13" s="35">
        <v>79.400000000000006</v>
      </c>
      <c r="BW13" s="55"/>
      <c r="BX13" s="36">
        <v>36.299999999999997</v>
      </c>
      <c r="BY13" s="36">
        <v>53.6</v>
      </c>
      <c r="BZ13" s="36">
        <v>74.8</v>
      </c>
      <c r="CA13" s="55"/>
      <c r="CB13" s="36">
        <v>37</v>
      </c>
      <c r="CC13" s="36">
        <v>58.2</v>
      </c>
      <c r="CD13" s="36">
        <v>83.5</v>
      </c>
      <c r="CE13" s="55"/>
      <c r="CF13" s="19" t="s">
        <v>9</v>
      </c>
      <c r="CG13" s="20">
        <f>H10</f>
        <v>1593.5</v>
      </c>
      <c r="CH13" s="20">
        <f>I10</f>
        <v>1902.2333333333333</v>
      </c>
      <c r="CI13" s="20">
        <f>J10</f>
        <v>2231.0333333333342</v>
      </c>
      <c r="CJ13" s="20">
        <f t="shared" ref="CJ13:CJ31" si="39">SLOPE(CG13:CI13,$CG$12:$CI$12)</f>
        <v>318.76666666666711</v>
      </c>
      <c r="CK13" s="40"/>
      <c r="CL13" s="43"/>
      <c r="CM13" s="44"/>
      <c r="CN13" s="44"/>
      <c r="CO13" s="44"/>
      <c r="CR13" s="44"/>
      <c r="CS13" s="44"/>
      <c r="CT13" s="44"/>
      <c r="CU13" s="44"/>
      <c r="CV13" s="44"/>
      <c r="CW13" s="44"/>
      <c r="CX13" s="44"/>
      <c r="CY13" s="44"/>
      <c r="CZ13" s="44"/>
      <c r="DA13" s="44"/>
      <c r="DB13" s="44"/>
      <c r="DC13" s="44"/>
      <c r="DD13" s="44"/>
      <c r="DE13" s="44"/>
      <c r="DF13" s="44"/>
      <c r="DG13" s="44"/>
      <c r="DH13" s="44"/>
      <c r="DI13" s="44"/>
      <c r="DJ13" s="44"/>
    </row>
    <row r="14" spans="1:114">
      <c r="A14" s="93" t="s">
        <v>17</v>
      </c>
      <c r="B14" s="92">
        <v>1741.9999999999998</v>
      </c>
      <c r="C14" s="92">
        <v>2028.9333333333334</v>
      </c>
      <c r="D14" s="92">
        <v>2333.5333333333338</v>
      </c>
      <c r="E14" s="92">
        <v>295.76666666666699</v>
      </c>
      <c r="F14" s="19">
        <v>2</v>
      </c>
      <c r="G14" s="71">
        <v>43709</v>
      </c>
      <c r="H14" s="34">
        <v>28</v>
      </c>
      <c r="I14" s="34">
        <v>50.6</v>
      </c>
      <c r="J14" s="35">
        <v>77.2</v>
      </c>
      <c r="K14" s="54"/>
      <c r="L14" s="35">
        <v>45.6</v>
      </c>
      <c r="M14" s="35">
        <v>62</v>
      </c>
      <c r="N14" s="35">
        <v>83</v>
      </c>
      <c r="O14" s="54"/>
      <c r="P14" s="36">
        <v>53.4</v>
      </c>
      <c r="Q14" s="35">
        <v>76.8</v>
      </c>
      <c r="R14" s="35">
        <v>103.8</v>
      </c>
      <c r="S14" s="54"/>
      <c r="T14" s="35">
        <v>61.9</v>
      </c>
      <c r="U14" s="35">
        <v>79.3</v>
      </c>
      <c r="V14" s="35">
        <v>99.8</v>
      </c>
      <c r="W14" s="54"/>
      <c r="X14" s="35">
        <v>53.2</v>
      </c>
      <c r="Y14" s="35">
        <v>73.7</v>
      </c>
      <c r="Z14" s="35">
        <v>98.2</v>
      </c>
      <c r="AA14" s="54"/>
      <c r="AB14" s="35">
        <v>33.299999999999997</v>
      </c>
      <c r="AC14" s="35">
        <v>47.9</v>
      </c>
      <c r="AD14" s="35">
        <v>66.599999999999994</v>
      </c>
      <c r="AE14" s="55"/>
      <c r="AF14" s="35">
        <v>38.5</v>
      </c>
      <c r="AG14" s="35">
        <v>50.9</v>
      </c>
      <c r="AH14" s="35">
        <v>67.900000000000006</v>
      </c>
      <c r="AI14" s="55"/>
      <c r="AJ14" s="36">
        <v>60.8</v>
      </c>
      <c r="AK14" s="36">
        <v>80.2</v>
      </c>
      <c r="AL14" s="36">
        <v>103</v>
      </c>
      <c r="AM14" s="55"/>
      <c r="AN14" s="35">
        <v>56.4</v>
      </c>
      <c r="AO14" s="35">
        <v>79.599999999999994</v>
      </c>
      <c r="AP14" s="35">
        <v>105.9</v>
      </c>
      <c r="AQ14" s="55"/>
      <c r="AR14" s="35">
        <v>33.9</v>
      </c>
      <c r="AS14" s="35">
        <v>52.6</v>
      </c>
      <c r="AT14" s="35">
        <v>76.599999999999994</v>
      </c>
      <c r="AU14" s="55"/>
      <c r="AV14" s="36">
        <v>65.3</v>
      </c>
      <c r="AW14" s="36">
        <v>89.6</v>
      </c>
      <c r="AX14" s="36">
        <v>116.1</v>
      </c>
      <c r="AY14" s="55"/>
      <c r="AZ14" s="35">
        <v>89.9</v>
      </c>
      <c r="BA14" s="35">
        <v>116.9</v>
      </c>
      <c r="BB14" s="35">
        <v>145.4</v>
      </c>
      <c r="BC14" s="55"/>
      <c r="BD14" s="35">
        <v>97.1</v>
      </c>
      <c r="BE14" s="35">
        <v>123.3</v>
      </c>
      <c r="BF14" s="35">
        <v>151.1</v>
      </c>
      <c r="BG14" s="55"/>
      <c r="BH14" s="35">
        <v>87.4</v>
      </c>
      <c r="BI14" s="35">
        <v>114.6</v>
      </c>
      <c r="BJ14" s="35">
        <v>143.1</v>
      </c>
      <c r="BK14" s="55"/>
      <c r="BL14" s="35">
        <v>89.1</v>
      </c>
      <c r="BM14" s="35">
        <v>115.8</v>
      </c>
      <c r="BN14" s="35">
        <v>144.19999999999999</v>
      </c>
      <c r="BO14" s="59"/>
      <c r="BP14" s="35">
        <v>105.8</v>
      </c>
      <c r="BQ14" s="35">
        <v>133.9</v>
      </c>
      <c r="BR14" s="35">
        <v>163.1</v>
      </c>
      <c r="BS14" s="55"/>
      <c r="BT14" s="35">
        <v>80.099999999999994</v>
      </c>
      <c r="BU14" s="35">
        <v>105.8</v>
      </c>
      <c r="BV14" s="35">
        <v>133.9</v>
      </c>
      <c r="BW14" s="55"/>
      <c r="BX14" s="36">
        <v>79</v>
      </c>
      <c r="BY14" s="36">
        <v>103.3</v>
      </c>
      <c r="BZ14" s="36">
        <v>130.1</v>
      </c>
      <c r="CA14" s="55"/>
      <c r="CB14" s="36">
        <v>63.9</v>
      </c>
      <c r="CC14" s="36">
        <v>88.9</v>
      </c>
      <c r="CD14" s="36">
        <v>116.8</v>
      </c>
      <c r="CE14" s="55"/>
      <c r="CF14" s="19" t="s">
        <v>17</v>
      </c>
      <c r="CG14" s="21">
        <f>L10</f>
        <v>1741.9999999999998</v>
      </c>
      <c r="CH14" s="21">
        <f>M10</f>
        <v>2028.9333333333334</v>
      </c>
      <c r="CI14" s="21">
        <f>N10</f>
        <v>2333.5333333333338</v>
      </c>
      <c r="CJ14" s="21">
        <f t="shared" si="39"/>
        <v>295.76666666666699</v>
      </c>
      <c r="CK14" s="40"/>
      <c r="CL14" s="43"/>
      <c r="CM14" s="44"/>
      <c r="CN14" s="44"/>
      <c r="CO14" s="44"/>
      <c r="CR14" s="44"/>
      <c r="CS14" s="44"/>
      <c r="CT14" s="44"/>
      <c r="CU14" s="44"/>
      <c r="CV14" s="44"/>
      <c r="CW14" s="44"/>
      <c r="CX14" s="44"/>
      <c r="CY14" s="44"/>
      <c r="CZ14" s="44"/>
      <c r="DA14" s="44"/>
      <c r="DB14" s="44"/>
      <c r="DC14" s="44"/>
      <c r="DD14" s="44"/>
      <c r="DE14" s="44"/>
      <c r="DF14" s="44"/>
      <c r="DG14" s="44"/>
      <c r="DH14" s="44"/>
      <c r="DI14" s="44"/>
      <c r="DJ14" s="44"/>
    </row>
    <row r="15" spans="1:114">
      <c r="A15" s="93" t="s">
        <v>29</v>
      </c>
      <c r="B15" s="92">
        <v>2007.3666666666659</v>
      </c>
      <c r="C15" s="92">
        <v>2316.2999999999997</v>
      </c>
      <c r="D15" s="92">
        <v>2641.5999999999995</v>
      </c>
      <c r="E15" s="92">
        <v>317.11666666666679</v>
      </c>
      <c r="F15" s="19">
        <v>3</v>
      </c>
      <c r="G15" s="71">
        <v>43739</v>
      </c>
      <c r="H15" s="34">
        <v>113.7</v>
      </c>
      <c r="I15" s="34">
        <v>144.5</v>
      </c>
      <c r="J15" s="35">
        <v>175.4</v>
      </c>
      <c r="K15" s="54"/>
      <c r="L15" s="35">
        <v>132.6</v>
      </c>
      <c r="M15" s="35">
        <v>161.9</v>
      </c>
      <c r="N15" s="35">
        <v>192.6</v>
      </c>
      <c r="O15" s="54"/>
      <c r="P15" s="36">
        <v>162.80000000000001</v>
      </c>
      <c r="Q15" s="35">
        <v>193.8</v>
      </c>
      <c r="R15" s="35">
        <v>224.8</v>
      </c>
      <c r="S15" s="54"/>
      <c r="T15" s="35">
        <v>157.9</v>
      </c>
      <c r="U15" s="35">
        <v>188.1</v>
      </c>
      <c r="V15" s="35">
        <v>219.2</v>
      </c>
      <c r="W15" s="54"/>
      <c r="X15" s="35">
        <v>175.1</v>
      </c>
      <c r="Y15" s="35">
        <v>205.9</v>
      </c>
      <c r="Z15" s="35">
        <v>237</v>
      </c>
      <c r="AA15" s="54"/>
      <c r="AB15" s="35">
        <v>120.2</v>
      </c>
      <c r="AC15" s="35">
        <v>148.80000000000001</v>
      </c>
      <c r="AD15" s="35">
        <v>179.1</v>
      </c>
      <c r="AE15" s="55"/>
      <c r="AF15" s="35">
        <v>95.3</v>
      </c>
      <c r="AG15" s="35">
        <v>121.9</v>
      </c>
      <c r="AH15" s="35">
        <v>151.6</v>
      </c>
      <c r="AI15" s="55"/>
      <c r="AJ15" s="36">
        <v>150.30000000000001</v>
      </c>
      <c r="AK15" s="36">
        <v>180.3</v>
      </c>
      <c r="AL15" s="36">
        <v>211.2</v>
      </c>
      <c r="AM15" s="55"/>
      <c r="AN15" s="35">
        <v>171.2</v>
      </c>
      <c r="AO15" s="35">
        <v>202.3</v>
      </c>
      <c r="AP15" s="35">
        <v>233.2</v>
      </c>
      <c r="AQ15" s="55"/>
      <c r="AR15" s="35">
        <v>128.6</v>
      </c>
      <c r="AS15" s="35">
        <v>159.19999999999999</v>
      </c>
      <c r="AT15" s="35">
        <v>190</v>
      </c>
      <c r="AU15" s="55"/>
      <c r="AV15" s="36">
        <v>185.7</v>
      </c>
      <c r="AW15" s="36">
        <v>216.8</v>
      </c>
      <c r="AX15" s="36">
        <v>247.8</v>
      </c>
      <c r="AY15" s="55"/>
      <c r="AZ15" s="35">
        <v>219.6</v>
      </c>
      <c r="BA15" s="35">
        <v>250.6</v>
      </c>
      <c r="BB15" s="35">
        <v>281.60000000000002</v>
      </c>
      <c r="BC15" s="55"/>
      <c r="BD15" s="35">
        <v>222.6</v>
      </c>
      <c r="BE15" s="35">
        <v>253.7</v>
      </c>
      <c r="BF15" s="35">
        <v>284.7</v>
      </c>
      <c r="BG15" s="55"/>
      <c r="BH15" s="35">
        <v>225.9</v>
      </c>
      <c r="BI15" s="35">
        <v>256.89999999999998</v>
      </c>
      <c r="BJ15" s="35">
        <v>287.89999999999998</v>
      </c>
      <c r="BK15" s="55"/>
      <c r="BL15" s="35">
        <v>219.6</v>
      </c>
      <c r="BM15" s="35">
        <v>250.7</v>
      </c>
      <c r="BN15" s="35">
        <v>281.7</v>
      </c>
      <c r="BO15" s="59"/>
      <c r="BP15" s="35">
        <v>225.8</v>
      </c>
      <c r="BQ15" s="35">
        <v>256.8</v>
      </c>
      <c r="BR15" s="35">
        <v>287.89999999999998</v>
      </c>
      <c r="BS15" s="55"/>
      <c r="BT15" s="35">
        <v>213</v>
      </c>
      <c r="BU15" s="35">
        <v>243.9</v>
      </c>
      <c r="BV15" s="35">
        <v>274.89999999999998</v>
      </c>
      <c r="BW15" s="55"/>
      <c r="BX15" s="36">
        <v>192.3</v>
      </c>
      <c r="BY15" s="36">
        <v>223.3</v>
      </c>
      <c r="BZ15" s="36">
        <v>254.4</v>
      </c>
      <c r="CA15" s="55"/>
      <c r="CB15" s="36">
        <v>176.3</v>
      </c>
      <c r="CC15" s="36">
        <v>207.2</v>
      </c>
      <c r="CD15" s="36">
        <v>238.3</v>
      </c>
      <c r="CE15" s="55"/>
      <c r="CF15" s="19" t="s">
        <v>29</v>
      </c>
      <c r="CG15" s="21">
        <f>P10</f>
        <v>2007.3666666666659</v>
      </c>
      <c r="CH15" s="21">
        <f>Q10</f>
        <v>2316.2999999999997</v>
      </c>
      <c r="CI15" s="21">
        <f>R10</f>
        <v>2641.5999999999995</v>
      </c>
      <c r="CJ15" s="21">
        <f t="shared" si="39"/>
        <v>317.11666666666679</v>
      </c>
      <c r="CK15" s="40"/>
      <c r="CL15" s="43"/>
      <c r="CM15" s="44"/>
      <c r="CN15" s="44"/>
      <c r="CO15" s="44"/>
      <c r="CR15" s="44"/>
      <c r="CS15" s="44"/>
      <c r="CT15" s="44"/>
      <c r="CU15" s="44"/>
      <c r="CV15" s="44"/>
      <c r="CW15" s="44"/>
      <c r="CX15" s="44"/>
      <c r="CY15" s="44"/>
      <c r="CZ15" s="44"/>
      <c r="DA15" s="44"/>
      <c r="DB15" s="44"/>
      <c r="DC15" s="44"/>
      <c r="DD15" s="44"/>
      <c r="DE15" s="44"/>
      <c r="DF15" s="44"/>
      <c r="DG15" s="44"/>
      <c r="DH15" s="44"/>
      <c r="DI15" s="44"/>
      <c r="DJ15" s="44"/>
    </row>
    <row r="16" spans="1:114">
      <c r="A16" s="93" t="s">
        <v>27</v>
      </c>
      <c r="B16" s="92">
        <v>2017.4666666666672</v>
      </c>
      <c r="C16" s="92">
        <v>2305.2000000000003</v>
      </c>
      <c r="D16" s="92">
        <v>2608.0666666666666</v>
      </c>
      <c r="E16" s="92">
        <v>295.29999999999973</v>
      </c>
      <c r="F16" s="19">
        <v>4</v>
      </c>
      <c r="G16" s="71">
        <v>43770</v>
      </c>
      <c r="H16" s="34">
        <v>203.6</v>
      </c>
      <c r="I16" s="34">
        <v>233.6</v>
      </c>
      <c r="J16" s="35">
        <v>263.60000000000002</v>
      </c>
      <c r="K16" s="54"/>
      <c r="L16" s="35">
        <v>230</v>
      </c>
      <c r="M16" s="35">
        <v>259.89999999999998</v>
      </c>
      <c r="N16" s="35">
        <v>289.89999999999998</v>
      </c>
      <c r="O16" s="54"/>
      <c r="P16" s="36">
        <v>269.5</v>
      </c>
      <c r="Q16" s="35">
        <v>299.5</v>
      </c>
      <c r="R16" s="35">
        <v>329.5</v>
      </c>
      <c r="S16" s="54"/>
      <c r="T16" s="35">
        <v>271.39999999999998</v>
      </c>
      <c r="U16" s="35">
        <v>301.39999999999998</v>
      </c>
      <c r="V16" s="35">
        <v>331.4</v>
      </c>
      <c r="W16" s="54"/>
      <c r="X16" s="35">
        <v>273.39999999999998</v>
      </c>
      <c r="Y16" s="35">
        <v>303.39999999999998</v>
      </c>
      <c r="Z16" s="35">
        <v>333.4</v>
      </c>
      <c r="AA16" s="54"/>
      <c r="AB16" s="35">
        <v>243.3</v>
      </c>
      <c r="AC16" s="35">
        <v>273.3</v>
      </c>
      <c r="AD16" s="35">
        <v>303.3</v>
      </c>
      <c r="AE16" s="55"/>
      <c r="AF16" s="35">
        <v>204.2</v>
      </c>
      <c r="AG16" s="35">
        <v>234.1</v>
      </c>
      <c r="AH16" s="35">
        <v>264.10000000000002</v>
      </c>
      <c r="AI16" s="55"/>
      <c r="AJ16" s="36">
        <v>251.2</v>
      </c>
      <c r="AK16" s="36">
        <v>281.2</v>
      </c>
      <c r="AL16" s="36">
        <v>311.2</v>
      </c>
      <c r="AM16" s="55"/>
      <c r="AN16" s="35">
        <v>263.60000000000002</v>
      </c>
      <c r="AO16" s="35">
        <v>293.60000000000002</v>
      </c>
      <c r="AP16" s="35">
        <v>323.60000000000002</v>
      </c>
      <c r="AQ16" s="55"/>
      <c r="AR16" s="35">
        <v>239.2</v>
      </c>
      <c r="AS16" s="35">
        <v>269.2</v>
      </c>
      <c r="AT16" s="35">
        <v>299.2</v>
      </c>
      <c r="AU16" s="55"/>
      <c r="AV16" s="36">
        <v>272</v>
      </c>
      <c r="AW16" s="36">
        <v>302</v>
      </c>
      <c r="AX16" s="36">
        <v>332</v>
      </c>
      <c r="AY16" s="55"/>
      <c r="AZ16" s="35">
        <v>309</v>
      </c>
      <c r="BA16" s="35">
        <v>339</v>
      </c>
      <c r="BB16" s="35">
        <v>369</v>
      </c>
      <c r="BC16" s="55"/>
      <c r="BD16" s="35">
        <v>304.3</v>
      </c>
      <c r="BE16" s="35">
        <v>334.3</v>
      </c>
      <c r="BF16" s="35">
        <v>364.3</v>
      </c>
      <c r="BG16" s="55"/>
      <c r="BH16" s="35">
        <v>337.5</v>
      </c>
      <c r="BI16" s="35">
        <v>367.5</v>
      </c>
      <c r="BJ16" s="35">
        <v>397.5</v>
      </c>
      <c r="BK16" s="55"/>
      <c r="BL16" s="35">
        <v>326.39999999999998</v>
      </c>
      <c r="BM16" s="35">
        <v>356.4</v>
      </c>
      <c r="BN16" s="35">
        <v>386.4</v>
      </c>
      <c r="BO16" s="59"/>
      <c r="BP16" s="35">
        <v>302.89999999999998</v>
      </c>
      <c r="BQ16" s="35">
        <v>332.9</v>
      </c>
      <c r="BR16" s="35">
        <v>362.9</v>
      </c>
      <c r="BS16" s="55"/>
      <c r="BT16" s="35">
        <v>291.5</v>
      </c>
      <c r="BU16" s="35">
        <v>321.5</v>
      </c>
      <c r="BV16" s="35">
        <v>351.5</v>
      </c>
      <c r="BW16" s="55"/>
      <c r="BX16" s="36">
        <v>273.8</v>
      </c>
      <c r="BY16" s="36">
        <v>303.8</v>
      </c>
      <c r="BZ16" s="36">
        <v>333.8</v>
      </c>
      <c r="CA16" s="55"/>
      <c r="CB16" s="36">
        <v>262.60000000000002</v>
      </c>
      <c r="CC16" s="36">
        <v>292.60000000000002</v>
      </c>
      <c r="CD16" s="36">
        <v>322.60000000000002</v>
      </c>
      <c r="CE16" s="55"/>
      <c r="CF16" s="19" t="s">
        <v>27</v>
      </c>
      <c r="CG16" s="21">
        <f>T10</f>
        <v>2017.4666666666672</v>
      </c>
      <c r="CH16" s="21">
        <f>U10</f>
        <v>2305.2000000000003</v>
      </c>
      <c r="CI16" s="21">
        <f>V10</f>
        <v>2608.0666666666666</v>
      </c>
      <c r="CJ16" s="21">
        <f t="shared" si="39"/>
        <v>295.29999999999973</v>
      </c>
      <c r="CK16" s="40"/>
      <c r="CL16" s="43"/>
      <c r="CM16" s="44"/>
      <c r="CN16" s="44"/>
      <c r="CO16" s="44"/>
    </row>
    <row r="17" spans="1:93">
      <c r="A17" s="93" t="s">
        <v>25</v>
      </c>
      <c r="B17" s="92">
        <v>2019.8000000000004</v>
      </c>
      <c r="C17" s="92">
        <v>2315.0666666666671</v>
      </c>
      <c r="D17" s="92">
        <v>2626.3333333333335</v>
      </c>
      <c r="E17" s="92">
        <v>303.26666666666654</v>
      </c>
      <c r="F17" s="19">
        <v>5</v>
      </c>
      <c r="G17" s="71">
        <v>43800</v>
      </c>
      <c r="H17" s="34">
        <v>230.9</v>
      </c>
      <c r="I17" s="34">
        <v>261.89999999999998</v>
      </c>
      <c r="J17" s="35">
        <v>292.89999999999998</v>
      </c>
      <c r="K17" s="54"/>
      <c r="L17" s="35">
        <v>255.5</v>
      </c>
      <c r="M17" s="35">
        <v>286.5</v>
      </c>
      <c r="N17" s="35">
        <v>317.5</v>
      </c>
      <c r="O17" s="54"/>
      <c r="P17" s="36">
        <v>282.7</v>
      </c>
      <c r="Q17" s="35">
        <v>313.7</v>
      </c>
      <c r="R17" s="35">
        <v>344.7</v>
      </c>
      <c r="S17" s="54"/>
      <c r="T17" s="35">
        <v>288.60000000000002</v>
      </c>
      <c r="U17" s="35">
        <v>319.60000000000002</v>
      </c>
      <c r="V17" s="35">
        <v>350.6</v>
      </c>
      <c r="W17" s="54"/>
      <c r="X17" s="35">
        <v>301</v>
      </c>
      <c r="Y17" s="35">
        <v>332</v>
      </c>
      <c r="Z17" s="35">
        <v>363</v>
      </c>
      <c r="AA17" s="54"/>
      <c r="AB17" s="35">
        <v>261</v>
      </c>
      <c r="AC17" s="35">
        <v>292</v>
      </c>
      <c r="AD17" s="35">
        <v>323</v>
      </c>
      <c r="AE17" s="55"/>
      <c r="AF17" s="35">
        <v>238.4</v>
      </c>
      <c r="AG17" s="35">
        <v>269.39999999999998</v>
      </c>
      <c r="AH17" s="35">
        <v>300.39999999999998</v>
      </c>
      <c r="AI17" s="55"/>
      <c r="AJ17" s="36">
        <v>281.5</v>
      </c>
      <c r="AK17" s="36">
        <v>312.5</v>
      </c>
      <c r="AL17" s="36">
        <v>343.5</v>
      </c>
      <c r="AM17" s="55"/>
      <c r="AN17" s="35">
        <v>267.2</v>
      </c>
      <c r="AO17" s="35">
        <v>298.2</v>
      </c>
      <c r="AP17" s="35">
        <v>329.2</v>
      </c>
      <c r="AQ17" s="55"/>
      <c r="AR17" s="35">
        <v>257.39999999999998</v>
      </c>
      <c r="AS17" s="35">
        <v>288.39999999999998</v>
      </c>
      <c r="AT17" s="35">
        <v>319.39999999999998</v>
      </c>
      <c r="AU17" s="55"/>
      <c r="AV17" s="36">
        <v>300.10000000000002</v>
      </c>
      <c r="AW17" s="36">
        <v>331.1</v>
      </c>
      <c r="AX17" s="36">
        <v>362.1</v>
      </c>
      <c r="AY17" s="55"/>
      <c r="AZ17" s="35">
        <v>323.89999999999998</v>
      </c>
      <c r="BA17" s="35">
        <v>354.9</v>
      </c>
      <c r="BB17" s="35">
        <v>385.9</v>
      </c>
      <c r="BC17" s="55"/>
      <c r="BD17" s="35">
        <v>320.5</v>
      </c>
      <c r="BE17" s="35">
        <v>351.5</v>
      </c>
      <c r="BF17" s="35">
        <v>382.5</v>
      </c>
      <c r="BG17" s="55"/>
      <c r="BH17" s="35">
        <v>308.39999999999998</v>
      </c>
      <c r="BI17" s="35">
        <v>339.4</v>
      </c>
      <c r="BJ17" s="35">
        <v>370.4</v>
      </c>
      <c r="BK17" s="55"/>
      <c r="BL17" s="35">
        <v>310.7</v>
      </c>
      <c r="BM17" s="35">
        <v>341.7</v>
      </c>
      <c r="BN17" s="35">
        <v>372.7</v>
      </c>
      <c r="BO17" s="59"/>
      <c r="BP17" s="35">
        <v>324.60000000000002</v>
      </c>
      <c r="BQ17" s="35">
        <v>355.6</v>
      </c>
      <c r="BR17" s="35">
        <v>386.6</v>
      </c>
      <c r="BS17" s="55"/>
      <c r="BT17" s="35">
        <v>305.89999999999998</v>
      </c>
      <c r="BU17" s="35">
        <v>336.9</v>
      </c>
      <c r="BV17" s="35">
        <v>367.9</v>
      </c>
      <c r="BW17" s="55"/>
      <c r="BX17" s="36">
        <v>287.60000000000002</v>
      </c>
      <c r="BY17" s="36">
        <v>318.60000000000002</v>
      </c>
      <c r="BZ17" s="36">
        <v>349.6</v>
      </c>
      <c r="CA17" s="55"/>
      <c r="CB17" s="36">
        <v>279</v>
      </c>
      <c r="CC17" s="36">
        <v>310</v>
      </c>
      <c r="CD17" s="36">
        <v>341</v>
      </c>
      <c r="CE17" s="55"/>
      <c r="CF17" s="19" t="s">
        <v>25</v>
      </c>
      <c r="CG17" s="21">
        <f>X10</f>
        <v>2019.8000000000004</v>
      </c>
      <c r="CH17" s="21">
        <f>Y10</f>
        <v>2315.0666666666671</v>
      </c>
      <c r="CI17" s="21">
        <f>Z10</f>
        <v>2626.3333333333335</v>
      </c>
      <c r="CJ17" s="21">
        <f t="shared" si="39"/>
        <v>303.26666666666654</v>
      </c>
      <c r="CK17" s="40"/>
      <c r="CL17" s="43"/>
      <c r="CM17" s="44"/>
      <c r="CN17" s="44"/>
      <c r="CO17" s="44"/>
    </row>
    <row r="18" spans="1:93">
      <c r="A18" s="93" t="s">
        <v>15</v>
      </c>
      <c r="B18" s="92">
        <v>1714.4333333333325</v>
      </c>
      <c r="C18" s="92">
        <v>1985.6999999999998</v>
      </c>
      <c r="D18" s="92">
        <v>2274.3333333333335</v>
      </c>
      <c r="E18" s="92">
        <v>279.9500000000005</v>
      </c>
      <c r="F18" s="19">
        <v>6</v>
      </c>
      <c r="G18" s="71">
        <v>43831</v>
      </c>
      <c r="H18" s="34">
        <v>242.4</v>
      </c>
      <c r="I18" s="34">
        <v>273.39999999999998</v>
      </c>
      <c r="J18" s="35">
        <v>304.39999999999998</v>
      </c>
      <c r="K18" s="54"/>
      <c r="L18" s="35">
        <v>259.2</v>
      </c>
      <c r="M18" s="35">
        <v>290.2</v>
      </c>
      <c r="N18" s="35">
        <v>321.2</v>
      </c>
      <c r="O18" s="54"/>
      <c r="P18" s="36">
        <v>280.60000000000002</v>
      </c>
      <c r="Q18" s="35">
        <v>311.60000000000002</v>
      </c>
      <c r="R18" s="35">
        <v>342.6</v>
      </c>
      <c r="S18" s="54"/>
      <c r="T18" s="35">
        <v>280.7</v>
      </c>
      <c r="U18" s="35">
        <v>311.7</v>
      </c>
      <c r="V18" s="35">
        <v>342.7</v>
      </c>
      <c r="W18" s="54"/>
      <c r="X18" s="35">
        <v>274</v>
      </c>
      <c r="Y18" s="35">
        <v>305</v>
      </c>
      <c r="Z18" s="35">
        <v>336</v>
      </c>
      <c r="AA18" s="54"/>
      <c r="AB18" s="35">
        <v>249.6</v>
      </c>
      <c r="AC18" s="35">
        <v>280.60000000000002</v>
      </c>
      <c r="AD18" s="35">
        <v>311.60000000000002</v>
      </c>
      <c r="AE18" s="55"/>
      <c r="AF18" s="35">
        <v>243.2</v>
      </c>
      <c r="AG18" s="35">
        <v>274.2</v>
      </c>
      <c r="AH18" s="35">
        <v>305.2</v>
      </c>
      <c r="AI18" s="55"/>
      <c r="AJ18" s="36">
        <v>265.10000000000002</v>
      </c>
      <c r="AK18" s="36">
        <v>296.10000000000002</v>
      </c>
      <c r="AL18" s="36">
        <v>327.10000000000002</v>
      </c>
      <c r="AM18" s="55"/>
      <c r="AN18" s="35">
        <v>255.3</v>
      </c>
      <c r="AO18" s="35">
        <v>286.3</v>
      </c>
      <c r="AP18" s="35">
        <v>317.3</v>
      </c>
      <c r="AQ18" s="55"/>
      <c r="AR18" s="35">
        <v>257.3</v>
      </c>
      <c r="AS18" s="35">
        <v>288.3</v>
      </c>
      <c r="AT18" s="35">
        <v>319.3</v>
      </c>
      <c r="AU18" s="55"/>
      <c r="AV18" s="36">
        <v>279.3</v>
      </c>
      <c r="AW18" s="36">
        <v>310.3</v>
      </c>
      <c r="AX18" s="36">
        <v>341.3</v>
      </c>
      <c r="AY18" s="55"/>
      <c r="AZ18" s="35">
        <v>297.8</v>
      </c>
      <c r="BA18" s="35">
        <v>328.8</v>
      </c>
      <c r="BB18" s="35">
        <v>359.8</v>
      </c>
      <c r="BC18" s="55"/>
      <c r="BD18" s="35">
        <v>296.89999999999998</v>
      </c>
      <c r="BE18" s="35">
        <v>327.9</v>
      </c>
      <c r="BF18" s="35">
        <v>358.9</v>
      </c>
      <c r="BG18" s="55"/>
      <c r="BH18" s="35">
        <v>280.5</v>
      </c>
      <c r="BI18" s="35">
        <v>311.5</v>
      </c>
      <c r="BJ18" s="35">
        <v>342.5</v>
      </c>
      <c r="BK18" s="55"/>
      <c r="BL18" s="35">
        <v>279</v>
      </c>
      <c r="BM18" s="35">
        <v>310</v>
      </c>
      <c r="BN18" s="35">
        <v>341</v>
      </c>
      <c r="BO18" s="59"/>
      <c r="BP18" s="35">
        <v>309.10000000000002</v>
      </c>
      <c r="BQ18" s="35">
        <v>340.1</v>
      </c>
      <c r="BR18" s="35">
        <v>371.1</v>
      </c>
      <c r="BS18" s="55"/>
      <c r="BT18" s="35">
        <v>300.7</v>
      </c>
      <c r="BU18" s="35">
        <v>331.7</v>
      </c>
      <c r="BV18" s="35">
        <v>362.7</v>
      </c>
      <c r="BW18" s="55"/>
      <c r="BX18" s="36">
        <v>280.8</v>
      </c>
      <c r="BY18" s="36">
        <v>311.8</v>
      </c>
      <c r="BZ18" s="36">
        <v>342.8</v>
      </c>
      <c r="CA18" s="55"/>
      <c r="CB18" s="36">
        <v>287.39999999999998</v>
      </c>
      <c r="CC18" s="36">
        <v>318.39999999999998</v>
      </c>
      <c r="CD18" s="36">
        <v>349.4</v>
      </c>
      <c r="CE18" s="55"/>
      <c r="CF18" s="19" t="s">
        <v>15</v>
      </c>
      <c r="CG18" s="21">
        <f>AB10</f>
        <v>1714.4333333333325</v>
      </c>
      <c r="CH18" s="21">
        <f>AC10</f>
        <v>1985.6999999999998</v>
      </c>
      <c r="CI18" s="21">
        <f>AD10</f>
        <v>2274.3333333333335</v>
      </c>
      <c r="CJ18" s="21">
        <f t="shared" si="39"/>
        <v>279.9500000000005</v>
      </c>
      <c r="CK18" s="40"/>
      <c r="CL18" s="43"/>
      <c r="CM18" s="44"/>
      <c r="CN18" s="44"/>
      <c r="CO18" s="44"/>
    </row>
    <row r="19" spans="1:93">
      <c r="A19" s="93" t="s">
        <v>13</v>
      </c>
      <c r="B19" s="92">
        <v>1653.4666666666665</v>
      </c>
      <c r="C19" s="92">
        <v>1927.2</v>
      </c>
      <c r="D19" s="92">
        <v>2221.5666666666671</v>
      </c>
      <c r="E19" s="92">
        <v>284.0500000000003</v>
      </c>
      <c r="F19" s="19">
        <v>7</v>
      </c>
      <c r="G19" s="71">
        <v>43862</v>
      </c>
      <c r="H19" s="34">
        <v>214.1</v>
      </c>
      <c r="I19" s="34">
        <v>243.1</v>
      </c>
      <c r="J19" s="35">
        <v>272.10000000000002</v>
      </c>
      <c r="K19" s="54"/>
      <c r="L19" s="35">
        <v>216.7</v>
      </c>
      <c r="M19" s="35">
        <v>245.7</v>
      </c>
      <c r="N19" s="35">
        <v>274.7</v>
      </c>
      <c r="O19" s="54"/>
      <c r="P19" s="36">
        <v>261.8</v>
      </c>
      <c r="Q19" s="35">
        <v>290.8</v>
      </c>
      <c r="R19" s="35">
        <v>319.8</v>
      </c>
      <c r="S19" s="54"/>
      <c r="T19" s="35">
        <v>248.6</v>
      </c>
      <c r="U19" s="35">
        <v>277.60000000000002</v>
      </c>
      <c r="V19" s="35">
        <v>306.60000000000002</v>
      </c>
      <c r="W19" s="54"/>
      <c r="X19" s="35">
        <v>260.8</v>
      </c>
      <c r="Y19" s="35">
        <v>289.8</v>
      </c>
      <c r="Z19" s="35">
        <v>318.8</v>
      </c>
      <c r="AA19" s="54"/>
      <c r="AB19" s="35">
        <v>227.6</v>
      </c>
      <c r="AC19" s="35">
        <v>256.60000000000002</v>
      </c>
      <c r="AD19" s="35">
        <v>285.60000000000002</v>
      </c>
      <c r="AE19" s="55"/>
      <c r="AF19" s="35">
        <v>217.3</v>
      </c>
      <c r="AG19" s="35">
        <v>246.3</v>
      </c>
      <c r="AH19" s="35">
        <v>275.3</v>
      </c>
      <c r="AI19" s="55"/>
      <c r="AJ19" s="36">
        <v>245.3</v>
      </c>
      <c r="AK19" s="36">
        <v>274.3</v>
      </c>
      <c r="AL19" s="36">
        <v>303.3</v>
      </c>
      <c r="AM19" s="55"/>
      <c r="AN19" s="35">
        <v>246.1</v>
      </c>
      <c r="AO19" s="35">
        <v>275.10000000000002</v>
      </c>
      <c r="AP19" s="35">
        <v>304.10000000000002</v>
      </c>
      <c r="AQ19" s="55"/>
      <c r="AR19" s="35">
        <v>231.5</v>
      </c>
      <c r="AS19" s="35">
        <v>260.5</v>
      </c>
      <c r="AT19" s="35">
        <v>289.5</v>
      </c>
      <c r="AU19" s="55"/>
      <c r="AV19" s="36">
        <v>272.3</v>
      </c>
      <c r="AW19" s="36">
        <v>301.3</v>
      </c>
      <c r="AX19" s="36">
        <v>330.3</v>
      </c>
      <c r="AY19" s="55"/>
      <c r="AZ19" s="35">
        <v>308.5</v>
      </c>
      <c r="BA19" s="35">
        <v>337.5</v>
      </c>
      <c r="BB19" s="35">
        <v>366.5</v>
      </c>
      <c r="BC19" s="55"/>
      <c r="BD19" s="35">
        <v>310.39999999999998</v>
      </c>
      <c r="BE19" s="35">
        <v>339.4</v>
      </c>
      <c r="BF19" s="35">
        <v>368.4</v>
      </c>
      <c r="BG19" s="55"/>
      <c r="BH19" s="35">
        <v>310.89999999999998</v>
      </c>
      <c r="BI19" s="35">
        <v>339.9</v>
      </c>
      <c r="BJ19" s="35">
        <v>368.9</v>
      </c>
      <c r="BK19" s="55"/>
      <c r="BL19" s="35">
        <v>314.7</v>
      </c>
      <c r="BM19" s="35">
        <v>343.7</v>
      </c>
      <c r="BN19" s="35">
        <v>372.7</v>
      </c>
      <c r="BO19" s="59"/>
      <c r="BP19" s="35">
        <v>327.60000000000002</v>
      </c>
      <c r="BQ19" s="35">
        <v>356.6</v>
      </c>
      <c r="BR19" s="35">
        <v>385.6</v>
      </c>
      <c r="BS19" s="55"/>
      <c r="BT19" s="35">
        <v>307.3</v>
      </c>
      <c r="BU19" s="35">
        <v>336.3</v>
      </c>
      <c r="BV19" s="35">
        <v>365.3</v>
      </c>
      <c r="BW19" s="55"/>
      <c r="BX19" s="36">
        <v>282.2</v>
      </c>
      <c r="BY19" s="36">
        <v>311.2</v>
      </c>
      <c r="BZ19" s="36">
        <v>340.2</v>
      </c>
      <c r="CA19" s="55"/>
      <c r="CB19" s="36">
        <v>272</v>
      </c>
      <c r="CC19" s="36">
        <v>301</v>
      </c>
      <c r="CD19" s="36">
        <v>330</v>
      </c>
      <c r="CE19" s="55"/>
      <c r="CF19" s="19" t="s">
        <v>13</v>
      </c>
      <c r="CG19" s="21">
        <f>AF10</f>
        <v>1653.4666666666665</v>
      </c>
      <c r="CH19" s="21">
        <f>AG10</f>
        <v>1927.2</v>
      </c>
      <c r="CI19" s="21">
        <f>AH10</f>
        <v>2221.5666666666671</v>
      </c>
      <c r="CJ19" s="21">
        <f t="shared" si="39"/>
        <v>284.0500000000003</v>
      </c>
      <c r="CK19" s="40"/>
      <c r="CL19" s="43"/>
      <c r="CM19" s="44"/>
      <c r="CN19" s="44"/>
      <c r="CO19" s="44"/>
    </row>
    <row r="20" spans="1:93">
      <c r="A20" s="93" t="s">
        <v>20</v>
      </c>
      <c r="B20" s="92">
        <v>1924.1000000000001</v>
      </c>
      <c r="C20" s="92">
        <v>2210.8000000000002</v>
      </c>
      <c r="D20" s="92">
        <v>2513.7999999999997</v>
      </c>
      <c r="E20" s="92">
        <v>294.8499999999998</v>
      </c>
      <c r="F20" s="19">
        <v>8</v>
      </c>
      <c r="G20" s="71">
        <v>43891</v>
      </c>
      <c r="H20" s="34">
        <v>242.2</v>
      </c>
      <c r="I20" s="34">
        <v>273.10000000000002</v>
      </c>
      <c r="J20" s="35">
        <v>304.10000000000002</v>
      </c>
      <c r="K20" s="54"/>
      <c r="L20" s="35">
        <v>249.8</v>
      </c>
      <c r="M20" s="35">
        <v>280.8</v>
      </c>
      <c r="N20" s="35">
        <v>311.7</v>
      </c>
      <c r="O20" s="54"/>
      <c r="P20" s="36">
        <v>288.5</v>
      </c>
      <c r="Q20" s="35">
        <v>319.5</v>
      </c>
      <c r="R20" s="35">
        <v>350.4</v>
      </c>
      <c r="S20" s="54"/>
      <c r="T20" s="35">
        <v>276</v>
      </c>
      <c r="U20" s="35">
        <v>306.89999999999998</v>
      </c>
      <c r="V20" s="35">
        <v>337.9</v>
      </c>
      <c r="W20" s="54"/>
      <c r="X20" s="35">
        <v>282.10000000000002</v>
      </c>
      <c r="Y20" s="35">
        <v>313.10000000000002</v>
      </c>
      <c r="Z20" s="35">
        <v>344</v>
      </c>
      <c r="AA20" s="54"/>
      <c r="AB20" s="35">
        <v>246.8</v>
      </c>
      <c r="AC20" s="35">
        <v>277.8</v>
      </c>
      <c r="AD20" s="35">
        <v>308.7</v>
      </c>
      <c r="AE20" s="55"/>
      <c r="AF20" s="35">
        <v>228.5</v>
      </c>
      <c r="AG20" s="35">
        <v>259.39999999999998</v>
      </c>
      <c r="AH20" s="35">
        <v>290.39999999999998</v>
      </c>
      <c r="AI20" s="55"/>
      <c r="AJ20" s="36">
        <v>265.39999999999998</v>
      </c>
      <c r="AK20" s="36">
        <v>296.3</v>
      </c>
      <c r="AL20" s="36">
        <v>327.3</v>
      </c>
      <c r="AM20" s="55"/>
      <c r="AN20" s="35">
        <v>267.8</v>
      </c>
      <c r="AO20" s="35">
        <v>298.5</v>
      </c>
      <c r="AP20" s="35">
        <v>329.4</v>
      </c>
      <c r="AQ20" s="55"/>
      <c r="AR20" s="35">
        <v>255.8</v>
      </c>
      <c r="AS20" s="35">
        <v>286.8</v>
      </c>
      <c r="AT20" s="35">
        <v>317.7</v>
      </c>
      <c r="AU20" s="55"/>
      <c r="AV20" s="36">
        <v>275.2</v>
      </c>
      <c r="AW20" s="36">
        <v>305.89999999999998</v>
      </c>
      <c r="AX20" s="36">
        <v>336.8</v>
      </c>
      <c r="AY20" s="55"/>
      <c r="AZ20" s="35">
        <v>312.3</v>
      </c>
      <c r="BA20" s="35">
        <v>343.3</v>
      </c>
      <c r="BB20" s="35">
        <v>374.2</v>
      </c>
      <c r="BC20" s="55"/>
      <c r="BD20" s="35">
        <v>307.60000000000002</v>
      </c>
      <c r="BE20" s="35">
        <v>338.5</v>
      </c>
      <c r="BF20" s="35">
        <v>369.4</v>
      </c>
      <c r="BG20" s="55"/>
      <c r="BH20" s="35">
        <v>304.39999999999998</v>
      </c>
      <c r="BI20" s="35">
        <v>335.4</v>
      </c>
      <c r="BJ20" s="35">
        <v>366.3</v>
      </c>
      <c r="BK20" s="55"/>
      <c r="BL20" s="35">
        <v>302.7</v>
      </c>
      <c r="BM20" s="35">
        <v>333.6</v>
      </c>
      <c r="BN20" s="35">
        <v>364.6</v>
      </c>
      <c r="BO20" s="59"/>
      <c r="BP20" s="35">
        <v>313.89999999999998</v>
      </c>
      <c r="BQ20" s="35">
        <v>344.9</v>
      </c>
      <c r="BR20" s="35">
        <v>375.8</v>
      </c>
      <c r="BS20" s="55"/>
      <c r="BT20" s="35">
        <v>302.5</v>
      </c>
      <c r="BU20" s="35">
        <v>333.4</v>
      </c>
      <c r="BV20" s="35">
        <v>364.4</v>
      </c>
      <c r="BW20" s="55"/>
      <c r="BX20" s="36">
        <v>289.60000000000002</v>
      </c>
      <c r="BY20" s="36">
        <v>320.5</v>
      </c>
      <c r="BZ20" s="36">
        <v>351.5</v>
      </c>
      <c r="CA20" s="55"/>
      <c r="CB20" s="36">
        <v>288.5</v>
      </c>
      <c r="CC20" s="36">
        <v>319.39999999999998</v>
      </c>
      <c r="CD20" s="36">
        <v>350.4</v>
      </c>
      <c r="CE20" s="55"/>
      <c r="CF20" s="19" t="s">
        <v>20</v>
      </c>
      <c r="CG20" s="21">
        <f>AJ10</f>
        <v>1924.1000000000001</v>
      </c>
      <c r="CH20" s="21">
        <f>AK10</f>
        <v>2210.8000000000002</v>
      </c>
      <c r="CI20" s="21">
        <f>AL10</f>
        <v>2513.7999999999997</v>
      </c>
      <c r="CJ20" s="21">
        <f t="shared" si="39"/>
        <v>294.8499999999998</v>
      </c>
      <c r="CK20" s="40"/>
      <c r="CL20" s="43"/>
      <c r="CM20" s="44"/>
      <c r="CN20" s="44"/>
      <c r="CO20" s="44"/>
    </row>
    <row r="21" spans="1:93">
      <c r="A21" s="93" t="s">
        <v>23</v>
      </c>
      <c r="B21" s="92">
        <v>1916.8000000000002</v>
      </c>
      <c r="C21" s="92">
        <v>2227.6333333333341</v>
      </c>
      <c r="D21" s="92">
        <v>2556.2000000000003</v>
      </c>
      <c r="E21" s="92">
        <v>319.70000000000005</v>
      </c>
      <c r="F21" s="19">
        <v>9</v>
      </c>
      <c r="G21" s="71">
        <v>43922</v>
      </c>
      <c r="H21" s="34">
        <v>133.5</v>
      </c>
      <c r="I21" s="34">
        <v>160.4</v>
      </c>
      <c r="J21" s="35">
        <v>188.5</v>
      </c>
      <c r="K21" s="54"/>
      <c r="L21" s="35">
        <v>148.5</v>
      </c>
      <c r="M21" s="35">
        <v>174.8</v>
      </c>
      <c r="N21" s="35">
        <v>202.4</v>
      </c>
      <c r="O21" s="54"/>
      <c r="P21" s="36">
        <v>155.30000000000001</v>
      </c>
      <c r="Q21" s="35">
        <v>180.2</v>
      </c>
      <c r="R21" s="35">
        <v>206.6</v>
      </c>
      <c r="S21" s="54"/>
      <c r="T21" s="35">
        <v>163.30000000000001</v>
      </c>
      <c r="U21" s="35">
        <v>187.6</v>
      </c>
      <c r="V21" s="35">
        <v>213</v>
      </c>
      <c r="W21" s="54"/>
      <c r="X21" s="35">
        <v>163.30000000000001</v>
      </c>
      <c r="Y21" s="35">
        <v>188.4</v>
      </c>
      <c r="Z21" s="35">
        <v>214.6</v>
      </c>
      <c r="AA21" s="54"/>
      <c r="AB21" s="35">
        <v>132.69999999999999</v>
      </c>
      <c r="AC21" s="35">
        <v>156.5</v>
      </c>
      <c r="AD21" s="35">
        <v>181.2</v>
      </c>
      <c r="AE21" s="55"/>
      <c r="AF21" s="35">
        <v>143.1</v>
      </c>
      <c r="AG21" s="35">
        <v>170.5</v>
      </c>
      <c r="AH21" s="35">
        <v>199</v>
      </c>
      <c r="AI21" s="55"/>
      <c r="AJ21" s="36">
        <v>170.5</v>
      </c>
      <c r="AK21" s="36">
        <v>197.2</v>
      </c>
      <c r="AL21" s="36">
        <v>225.2</v>
      </c>
      <c r="AM21" s="55"/>
      <c r="AN21" s="35">
        <v>164.6</v>
      </c>
      <c r="AO21" s="35">
        <v>191.7</v>
      </c>
      <c r="AP21" s="35">
        <v>219.9</v>
      </c>
      <c r="AQ21" s="55"/>
      <c r="AR21" s="35">
        <v>135.80000000000001</v>
      </c>
      <c r="AS21" s="35">
        <v>160.9</v>
      </c>
      <c r="AT21" s="35">
        <v>187.2</v>
      </c>
      <c r="AU21" s="55"/>
      <c r="AV21" s="36">
        <v>165.3</v>
      </c>
      <c r="AW21" s="36">
        <v>190.8</v>
      </c>
      <c r="AX21" s="36">
        <v>217.6</v>
      </c>
      <c r="AY21" s="55"/>
      <c r="AZ21" s="35">
        <v>204.7</v>
      </c>
      <c r="BA21" s="35">
        <v>233</v>
      </c>
      <c r="BB21" s="35">
        <v>262.2</v>
      </c>
      <c r="BC21" s="55"/>
      <c r="BD21" s="35">
        <v>214.6</v>
      </c>
      <c r="BE21" s="35">
        <v>243</v>
      </c>
      <c r="BF21" s="35">
        <v>272.39999999999998</v>
      </c>
      <c r="BG21" s="55"/>
      <c r="BH21" s="35">
        <v>206.1</v>
      </c>
      <c r="BI21" s="35">
        <v>234.8</v>
      </c>
      <c r="BJ21" s="35">
        <v>264.2</v>
      </c>
      <c r="BK21" s="55"/>
      <c r="BL21" s="35">
        <v>220.9</v>
      </c>
      <c r="BM21" s="35">
        <v>250.3</v>
      </c>
      <c r="BN21" s="35">
        <v>280.10000000000002</v>
      </c>
      <c r="BO21" s="59"/>
      <c r="BP21" s="35">
        <v>242.9</v>
      </c>
      <c r="BQ21" s="35">
        <v>272.5</v>
      </c>
      <c r="BR21" s="35">
        <v>302.3</v>
      </c>
      <c r="BS21" s="55"/>
      <c r="BT21" s="35">
        <v>195.4</v>
      </c>
      <c r="BU21" s="35">
        <v>224</v>
      </c>
      <c r="BV21" s="35">
        <v>253.3</v>
      </c>
      <c r="BW21" s="55"/>
      <c r="BX21" s="36">
        <v>200.7</v>
      </c>
      <c r="BY21" s="36">
        <v>229.9</v>
      </c>
      <c r="BZ21" s="36">
        <v>259.5</v>
      </c>
      <c r="CA21" s="55"/>
      <c r="CB21" s="36">
        <v>184.3</v>
      </c>
      <c r="CC21" s="36">
        <v>213.4</v>
      </c>
      <c r="CD21" s="36">
        <v>243</v>
      </c>
      <c r="CE21" s="55"/>
      <c r="CF21" s="19" t="s">
        <v>23</v>
      </c>
      <c r="CG21" s="21">
        <f>AN10</f>
        <v>1916.8000000000002</v>
      </c>
      <c r="CH21" s="21">
        <f>AO10</f>
        <v>2227.6333333333341</v>
      </c>
      <c r="CI21" s="21">
        <f>AP10</f>
        <v>2556.2000000000003</v>
      </c>
      <c r="CJ21" s="21">
        <f t="shared" si="39"/>
        <v>319.70000000000005</v>
      </c>
      <c r="CK21" s="40"/>
      <c r="CL21" s="43"/>
      <c r="CM21" s="44"/>
      <c r="CN21" s="44"/>
      <c r="CO21" s="44"/>
    </row>
    <row r="22" spans="1:93">
      <c r="A22" s="93" t="s">
        <v>18</v>
      </c>
      <c r="B22" s="92">
        <v>1750</v>
      </c>
      <c r="C22" s="92">
        <v>2044.8333333333342</v>
      </c>
      <c r="D22" s="92">
        <v>2360.9666666666667</v>
      </c>
      <c r="E22" s="92">
        <v>305.48333333333335</v>
      </c>
      <c r="F22" s="19">
        <v>10</v>
      </c>
      <c r="G22" s="71">
        <v>43952</v>
      </c>
      <c r="H22" s="34">
        <v>104.9</v>
      </c>
      <c r="I22" s="34">
        <v>130</v>
      </c>
      <c r="J22" s="35">
        <v>156.30000000000001</v>
      </c>
      <c r="K22" s="54"/>
      <c r="L22" s="35">
        <v>109.6</v>
      </c>
      <c r="M22" s="35">
        <v>133.4</v>
      </c>
      <c r="N22" s="35">
        <v>158.69999999999999</v>
      </c>
      <c r="O22" s="54"/>
      <c r="P22" s="36">
        <v>114.7</v>
      </c>
      <c r="Q22" s="35">
        <v>137.9</v>
      </c>
      <c r="R22" s="35">
        <v>162.9</v>
      </c>
      <c r="S22" s="54"/>
      <c r="T22" s="35">
        <v>118.2</v>
      </c>
      <c r="U22" s="35">
        <v>139.4</v>
      </c>
      <c r="V22" s="35">
        <v>162.1</v>
      </c>
      <c r="W22" s="54"/>
      <c r="X22" s="35">
        <v>107.2</v>
      </c>
      <c r="Y22" s="35">
        <v>128.6</v>
      </c>
      <c r="Z22" s="35">
        <v>151.69999999999999</v>
      </c>
      <c r="AA22" s="54"/>
      <c r="AB22" s="35">
        <v>81.5</v>
      </c>
      <c r="AC22" s="35">
        <v>100.6</v>
      </c>
      <c r="AD22" s="35">
        <v>121.4</v>
      </c>
      <c r="AE22" s="55"/>
      <c r="AF22" s="35">
        <v>98.6</v>
      </c>
      <c r="AG22" s="35">
        <v>122.4</v>
      </c>
      <c r="AH22" s="35">
        <v>147.9</v>
      </c>
      <c r="AI22" s="55"/>
      <c r="AJ22" s="36">
        <v>113.1</v>
      </c>
      <c r="AK22" s="36">
        <v>135</v>
      </c>
      <c r="AL22" s="36">
        <v>158.4</v>
      </c>
      <c r="AM22" s="55"/>
      <c r="AN22" s="35">
        <v>117.3</v>
      </c>
      <c r="AO22" s="35">
        <v>142.1</v>
      </c>
      <c r="AP22" s="35">
        <v>168.7</v>
      </c>
      <c r="AQ22" s="55"/>
      <c r="AR22" s="35">
        <v>99.9</v>
      </c>
      <c r="AS22" s="35">
        <v>123.6</v>
      </c>
      <c r="AT22" s="35">
        <v>148.19999999999999</v>
      </c>
      <c r="AU22" s="55"/>
      <c r="AV22" s="36">
        <v>122.6</v>
      </c>
      <c r="AW22" s="36">
        <v>145.69999999999999</v>
      </c>
      <c r="AX22" s="36">
        <v>170.4</v>
      </c>
      <c r="AY22" s="55"/>
      <c r="AZ22" s="35">
        <v>150.69999999999999</v>
      </c>
      <c r="BA22" s="35">
        <v>176.3</v>
      </c>
      <c r="BB22" s="35">
        <v>202.7</v>
      </c>
      <c r="BC22" s="55"/>
      <c r="BD22" s="35">
        <v>142</v>
      </c>
      <c r="BE22" s="35">
        <v>167.3</v>
      </c>
      <c r="BF22" s="35">
        <v>193.9</v>
      </c>
      <c r="BG22" s="55"/>
      <c r="BH22" s="35">
        <v>144.69999999999999</v>
      </c>
      <c r="BI22" s="35">
        <v>171.4</v>
      </c>
      <c r="BJ22" s="35">
        <v>198.9</v>
      </c>
      <c r="BK22" s="55"/>
      <c r="BL22" s="35">
        <v>141.4</v>
      </c>
      <c r="BM22" s="35">
        <v>167.1</v>
      </c>
      <c r="BN22" s="35">
        <v>194.2</v>
      </c>
      <c r="BO22" s="59"/>
      <c r="BP22" s="35">
        <v>166</v>
      </c>
      <c r="BQ22" s="35">
        <v>193</v>
      </c>
      <c r="BR22" s="35">
        <v>221.8</v>
      </c>
      <c r="BS22" s="55"/>
      <c r="BT22" s="35">
        <v>138.30000000000001</v>
      </c>
      <c r="BU22" s="35">
        <v>164.4</v>
      </c>
      <c r="BV22" s="35">
        <v>192</v>
      </c>
      <c r="BW22" s="55"/>
      <c r="BX22" s="36">
        <v>135.69999999999999</v>
      </c>
      <c r="BY22" s="36">
        <v>161.30000000000001</v>
      </c>
      <c r="BZ22" s="36">
        <v>188.3</v>
      </c>
      <c r="CA22" s="55"/>
      <c r="CB22" s="36">
        <v>135.30000000000001</v>
      </c>
      <c r="CC22" s="36">
        <v>163.4</v>
      </c>
      <c r="CD22" s="36">
        <v>192.7</v>
      </c>
      <c r="CE22" s="55"/>
      <c r="CF22" s="19" t="s">
        <v>18</v>
      </c>
      <c r="CG22" s="21">
        <f>AR10</f>
        <v>1750</v>
      </c>
      <c r="CH22" s="21">
        <f>AS10</f>
        <v>2044.8333333333342</v>
      </c>
      <c r="CI22" s="21">
        <f>AT10</f>
        <v>2360.9666666666667</v>
      </c>
      <c r="CJ22" s="21">
        <f t="shared" si="39"/>
        <v>305.48333333333335</v>
      </c>
      <c r="CK22" s="40"/>
      <c r="CL22" s="43"/>
      <c r="CM22" s="44"/>
      <c r="CN22" s="44"/>
      <c r="CO22" s="44"/>
    </row>
    <row r="23" spans="1:93">
      <c r="A23" s="93" t="s">
        <v>32</v>
      </c>
      <c r="B23" s="92">
        <v>2058.5</v>
      </c>
      <c r="C23" s="92">
        <v>2362.8333333333326</v>
      </c>
      <c r="D23" s="92">
        <v>2682.7666666666664</v>
      </c>
      <c r="E23" s="92">
        <v>312.13333333333321</v>
      </c>
      <c r="F23" s="19">
        <v>11</v>
      </c>
      <c r="G23" s="71">
        <v>43983</v>
      </c>
      <c r="H23" s="34">
        <v>56.5</v>
      </c>
      <c r="I23" s="34">
        <v>80.900000000000006</v>
      </c>
      <c r="J23" s="35">
        <v>106.8</v>
      </c>
      <c r="K23" s="54"/>
      <c r="L23" s="35">
        <v>40.299999999999997</v>
      </c>
      <c r="M23" s="35">
        <v>58.4</v>
      </c>
      <c r="N23" s="35">
        <v>79</v>
      </c>
      <c r="O23" s="54"/>
      <c r="P23" s="36">
        <v>59.5</v>
      </c>
      <c r="Q23" s="35">
        <v>80.5</v>
      </c>
      <c r="R23" s="35">
        <v>103.1</v>
      </c>
      <c r="S23" s="54"/>
      <c r="T23" s="35">
        <v>50</v>
      </c>
      <c r="U23" s="35">
        <v>67.8</v>
      </c>
      <c r="V23" s="35">
        <v>87.6</v>
      </c>
      <c r="W23" s="54"/>
      <c r="X23" s="35">
        <v>55.2</v>
      </c>
      <c r="Y23" s="35">
        <v>74</v>
      </c>
      <c r="Z23" s="35">
        <v>94.7</v>
      </c>
      <c r="AA23" s="54"/>
      <c r="AB23" s="35">
        <v>32.700000000000003</v>
      </c>
      <c r="AC23" s="35">
        <v>48.1</v>
      </c>
      <c r="AD23" s="35">
        <v>65.400000000000006</v>
      </c>
      <c r="AE23" s="55"/>
      <c r="AF23" s="35">
        <v>33.5</v>
      </c>
      <c r="AG23" s="35">
        <v>48.8</v>
      </c>
      <c r="AH23" s="35">
        <v>68</v>
      </c>
      <c r="AI23" s="55"/>
      <c r="AJ23" s="36">
        <v>53</v>
      </c>
      <c r="AK23" s="36">
        <v>70.5</v>
      </c>
      <c r="AL23" s="36">
        <v>90.1</v>
      </c>
      <c r="AM23" s="55"/>
      <c r="AN23" s="35">
        <v>55.3</v>
      </c>
      <c r="AO23" s="35">
        <v>76.3</v>
      </c>
      <c r="AP23" s="35">
        <v>99.8</v>
      </c>
      <c r="AQ23" s="55"/>
      <c r="AR23" s="35">
        <v>44</v>
      </c>
      <c r="AS23" s="35">
        <v>63.9</v>
      </c>
      <c r="AT23" s="35">
        <v>87</v>
      </c>
      <c r="AU23" s="55"/>
      <c r="AV23" s="36">
        <v>56</v>
      </c>
      <c r="AW23" s="36">
        <v>76.099999999999994</v>
      </c>
      <c r="AX23" s="36">
        <v>97.1</v>
      </c>
      <c r="AY23" s="55"/>
      <c r="AZ23" s="35">
        <v>97</v>
      </c>
      <c r="BA23" s="35">
        <v>119.7</v>
      </c>
      <c r="BB23" s="35">
        <v>143.6</v>
      </c>
      <c r="BC23" s="55"/>
      <c r="BD23" s="35">
        <v>89.8</v>
      </c>
      <c r="BE23" s="35">
        <v>112.8</v>
      </c>
      <c r="BF23" s="35">
        <v>137.30000000000001</v>
      </c>
      <c r="BG23" s="55"/>
      <c r="BH23" s="35">
        <v>61.8</v>
      </c>
      <c r="BI23" s="35">
        <v>82.6</v>
      </c>
      <c r="BJ23" s="35">
        <v>106.1</v>
      </c>
      <c r="BK23" s="55"/>
      <c r="BL23" s="35">
        <v>78.099999999999994</v>
      </c>
      <c r="BM23" s="35">
        <v>102.1</v>
      </c>
      <c r="BN23" s="35">
        <v>127.8</v>
      </c>
      <c r="BO23" s="59"/>
      <c r="BP23" s="35">
        <v>102</v>
      </c>
      <c r="BQ23" s="35">
        <v>127.6</v>
      </c>
      <c r="BR23" s="35">
        <v>154.19999999999999</v>
      </c>
      <c r="BS23" s="55"/>
      <c r="BT23" s="35">
        <v>78.5</v>
      </c>
      <c r="BU23" s="35">
        <v>101.1</v>
      </c>
      <c r="BV23" s="35">
        <v>125.8</v>
      </c>
      <c r="BW23" s="55"/>
      <c r="BX23" s="36">
        <v>80.5</v>
      </c>
      <c r="BY23" s="36">
        <v>103.7</v>
      </c>
      <c r="BZ23" s="36">
        <v>129</v>
      </c>
      <c r="CA23" s="55"/>
      <c r="CB23" s="36">
        <v>76.2</v>
      </c>
      <c r="CC23" s="36">
        <v>102.2</v>
      </c>
      <c r="CD23" s="36">
        <v>129.4</v>
      </c>
      <c r="CE23" s="55"/>
      <c r="CF23" s="19" t="s">
        <v>32</v>
      </c>
      <c r="CG23" s="21">
        <f>AV10</f>
        <v>2058.5</v>
      </c>
      <c r="CH23" s="21">
        <f>AW10</f>
        <v>2362.8333333333326</v>
      </c>
      <c r="CI23" s="21">
        <f>AX10</f>
        <v>2682.7666666666664</v>
      </c>
      <c r="CJ23" s="21">
        <f t="shared" si="39"/>
        <v>312.13333333333321</v>
      </c>
      <c r="CK23" s="40"/>
      <c r="CL23" s="43"/>
      <c r="CM23" s="44"/>
      <c r="CN23" s="44"/>
      <c r="CO23" s="44"/>
    </row>
    <row r="24" spans="1:93">
      <c r="A24" s="93" t="s">
        <v>39</v>
      </c>
      <c r="B24" s="92">
        <v>2402.2000000000003</v>
      </c>
      <c r="C24" s="92">
        <v>2725.7333333333331</v>
      </c>
      <c r="D24" s="92">
        <v>3061.2000000000003</v>
      </c>
      <c r="E24" s="92">
        <v>329.5</v>
      </c>
      <c r="F24" s="19">
        <v>12</v>
      </c>
      <c r="G24" s="71">
        <v>44013</v>
      </c>
      <c r="H24" s="34">
        <v>24.8</v>
      </c>
      <c r="I24" s="34">
        <v>45.2</v>
      </c>
      <c r="J24" s="35">
        <v>70.5</v>
      </c>
      <c r="K24" s="54"/>
      <c r="L24" s="35">
        <v>23.2</v>
      </c>
      <c r="M24" s="35">
        <v>36.299999999999997</v>
      </c>
      <c r="N24" s="35">
        <v>52.1</v>
      </c>
      <c r="O24" s="54"/>
      <c r="P24" s="36">
        <v>34.1</v>
      </c>
      <c r="Q24" s="35">
        <v>54.6</v>
      </c>
      <c r="R24" s="35">
        <v>79.099999999999994</v>
      </c>
      <c r="S24" s="54"/>
      <c r="T24" s="35">
        <v>32.299999999999997</v>
      </c>
      <c r="U24" s="35">
        <v>45</v>
      </c>
      <c r="V24" s="35">
        <v>61.2</v>
      </c>
      <c r="W24" s="54"/>
      <c r="X24" s="35">
        <v>27.2</v>
      </c>
      <c r="Y24" s="35">
        <v>43</v>
      </c>
      <c r="Z24" s="35">
        <v>63.1</v>
      </c>
      <c r="AA24" s="54"/>
      <c r="AB24" s="35">
        <v>16.5</v>
      </c>
      <c r="AC24" s="35">
        <v>25.6</v>
      </c>
      <c r="AD24" s="35">
        <v>38.9</v>
      </c>
      <c r="AE24" s="55"/>
      <c r="AF24" s="35">
        <v>19.5</v>
      </c>
      <c r="AG24" s="35">
        <v>28.5</v>
      </c>
      <c r="AH24" s="35">
        <v>42.1</v>
      </c>
      <c r="AI24" s="55"/>
      <c r="AJ24" s="36">
        <v>24.7</v>
      </c>
      <c r="AK24" s="36">
        <v>37.4</v>
      </c>
      <c r="AL24" s="36">
        <v>54.2</v>
      </c>
      <c r="AM24" s="55"/>
      <c r="AN24" s="35">
        <v>40.9</v>
      </c>
      <c r="AO24" s="35">
        <v>63.9</v>
      </c>
      <c r="AP24" s="35">
        <v>90.1</v>
      </c>
      <c r="AQ24" s="55"/>
      <c r="AR24" s="35">
        <v>23.1</v>
      </c>
      <c r="AS24" s="35">
        <v>40.299999999999997</v>
      </c>
      <c r="AT24" s="35">
        <v>64.099999999999994</v>
      </c>
      <c r="AU24" s="55"/>
      <c r="AV24" s="36">
        <v>44.3</v>
      </c>
      <c r="AW24" s="36">
        <v>65.5</v>
      </c>
      <c r="AX24" s="36">
        <v>90.7</v>
      </c>
      <c r="AY24" s="55"/>
      <c r="AZ24" s="35">
        <v>69.5</v>
      </c>
      <c r="BA24" s="35">
        <v>94.2</v>
      </c>
      <c r="BB24" s="35">
        <v>121.6</v>
      </c>
      <c r="BC24" s="55"/>
      <c r="BD24" s="35">
        <v>58.3</v>
      </c>
      <c r="BE24" s="35">
        <v>79.7</v>
      </c>
      <c r="BF24" s="35">
        <v>104.3</v>
      </c>
      <c r="BG24" s="55"/>
      <c r="BH24" s="35">
        <v>68</v>
      </c>
      <c r="BI24" s="35">
        <v>94.4</v>
      </c>
      <c r="BJ24" s="35">
        <v>123.5</v>
      </c>
      <c r="BK24" s="55"/>
      <c r="BL24" s="35">
        <v>61.8</v>
      </c>
      <c r="BM24" s="35">
        <v>84.5</v>
      </c>
      <c r="BN24" s="35">
        <v>110.8</v>
      </c>
      <c r="BO24" s="59"/>
      <c r="BP24" s="35">
        <v>79.8</v>
      </c>
      <c r="BQ24" s="35">
        <v>105</v>
      </c>
      <c r="BR24" s="35">
        <v>132.30000000000001</v>
      </c>
      <c r="BS24" s="55"/>
      <c r="BT24" s="35">
        <v>63.7</v>
      </c>
      <c r="BU24" s="35">
        <v>89.1</v>
      </c>
      <c r="BV24" s="35">
        <v>117.5</v>
      </c>
      <c r="BW24" s="55"/>
      <c r="BX24" s="36">
        <v>52.8</v>
      </c>
      <c r="BY24" s="36">
        <v>74.099999999999994</v>
      </c>
      <c r="BZ24" s="36">
        <v>99.2</v>
      </c>
      <c r="CA24" s="55"/>
      <c r="CB24" s="36">
        <v>47.6</v>
      </c>
      <c r="CC24" s="36">
        <v>70.7</v>
      </c>
      <c r="CD24" s="36">
        <v>96.9</v>
      </c>
      <c r="CE24" s="55"/>
      <c r="CF24" s="19" t="s">
        <v>39</v>
      </c>
      <c r="CG24" s="21">
        <f>AZ10</f>
        <v>2402.2000000000003</v>
      </c>
      <c r="CH24" s="21">
        <f>BA10</f>
        <v>2725.7333333333331</v>
      </c>
      <c r="CI24" s="21">
        <f>BB10</f>
        <v>3061.2000000000003</v>
      </c>
      <c r="CJ24" s="21">
        <f t="shared" si="39"/>
        <v>329.5</v>
      </c>
      <c r="CK24" s="40"/>
      <c r="CL24" s="43"/>
      <c r="CM24" s="44"/>
      <c r="CN24" s="44"/>
      <c r="CO24" s="44"/>
    </row>
    <row r="25" spans="1:93">
      <c r="A25" s="93" t="s">
        <v>38</v>
      </c>
      <c r="B25" s="92">
        <v>2353.8666666666663</v>
      </c>
      <c r="C25" s="92">
        <v>2673.1666666666665</v>
      </c>
      <c r="D25" s="92">
        <v>3006.0333333333342</v>
      </c>
      <c r="E25" s="92">
        <v>326.08333333333394</v>
      </c>
      <c r="F25" s="19">
        <v>13</v>
      </c>
      <c r="G25" s="71">
        <v>44044</v>
      </c>
      <c r="H25" s="34">
        <v>14.3</v>
      </c>
      <c r="I25" s="34">
        <v>27.5</v>
      </c>
      <c r="J25" s="35">
        <v>46.9</v>
      </c>
      <c r="K25" s="54"/>
      <c r="L25" s="35">
        <v>12.8</v>
      </c>
      <c r="M25" s="35">
        <v>20.8</v>
      </c>
      <c r="N25" s="35">
        <v>32</v>
      </c>
      <c r="O25" s="54"/>
      <c r="P25" s="36">
        <v>23.6</v>
      </c>
      <c r="Q25" s="35">
        <v>36.6</v>
      </c>
      <c r="R25" s="35">
        <v>54.2</v>
      </c>
      <c r="S25" s="54"/>
      <c r="T25" s="35">
        <v>22</v>
      </c>
      <c r="U25" s="35">
        <v>30.9</v>
      </c>
      <c r="V25" s="35">
        <v>43.1</v>
      </c>
      <c r="W25" s="54"/>
      <c r="X25" s="35">
        <v>23.7</v>
      </c>
      <c r="Y25" s="35">
        <v>35.299999999999997</v>
      </c>
      <c r="Z25" s="35">
        <v>50.6</v>
      </c>
      <c r="AA25" s="54"/>
      <c r="AB25" s="35">
        <v>11.8</v>
      </c>
      <c r="AC25" s="35">
        <v>18.5</v>
      </c>
      <c r="AD25" s="35">
        <v>28.1</v>
      </c>
      <c r="AE25" s="55"/>
      <c r="AF25" s="35">
        <v>8.1</v>
      </c>
      <c r="AG25" s="35">
        <v>12.6</v>
      </c>
      <c r="AH25" s="35">
        <v>19.399999999999999</v>
      </c>
      <c r="AI25" s="55"/>
      <c r="AJ25" s="36">
        <v>12</v>
      </c>
      <c r="AK25" s="36">
        <v>19.3</v>
      </c>
      <c r="AL25" s="36">
        <v>29.2</v>
      </c>
      <c r="AM25" s="55"/>
      <c r="AN25" s="35">
        <v>26</v>
      </c>
      <c r="AO25" s="35">
        <v>40.200000000000003</v>
      </c>
      <c r="AP25" s="35">
        <v>58.3</v>
      </c>
      <c r="AQ25" s="55"/>
      <c r="AR25" s="35">
        <v>15.7</v>
      </c>
      <c r="AS25" s="35">
        <v>24.7</v>
      </c>
      <c r="AT25" s="35">
        <v>38.799999999999997</v>
      </c>
      <c r="AU25" s="55"/>
      <c r="AV25" s="36">
        <v>30.7</v>
      </c>
      <c r="AW25" s="36">
        <v>44.4</v>
      </c>
      <c r="AX25" s="36">
        <v>61.4</v>
      </c>
      <c r="AY25" s="55"/>
      <c r="AZ25" s="35">
        <v>45.3</v>
      </c>
      <c r="BA25" s="35">
        <v>64.900000000000006</v>
      </c>
      <c r="BB25" s="35">
        <v>87.6</v>
      </c>
      <c r="BC25" s="55"/>
      <c r="BD25" s="35">
        <v>48.6</v>
      </c>
      <c r="BE25" s="35">
        <v>68</v>
      </c>
      <c r="BF25" s="35">
        <v>90.9</v>
      </c>
      <c r="BG25" s="55"/>
      <c r="BH25" s="35">
        <v>47.9</v>
      </c>
      <c r="BI25" s="35">
        <v>68.3</v>
      </c>
      <c r="BJ25" s="35">
        <v>92.4</v>
      </c>
      <c r="BK25" s="55"/>
      <c r="BL25" s="35">
        <v>48.1</v>
      </c>
      <c r="BM25" s="35">
        <v>70.2</v>
      </c>
      <c r="BN25" s="35">
        <v>95.4</v>
      </c>
      <c r="BO25" s="59"/>
      <c r="BP25" s="35">
        <v>62.4</v>
      </c>
      <c r="BQ25" s="35">
        <v>86</v>
      </c>
      <c r="BR25" s="35">
        <v>113.3</v>
      </c>
      <c r="BS25" s="55"/>
      <c r="BT25" s="35">
        <v>46.9</v>
      </c>
      <c r="BU25" s="35">
        <v>67.3</v>
      </c>
      <c r="BV25" s="35">
        <v>91.4</v>
      </c>
      <c r="BW25" s="55"/>
      <c r="BX25" s="36">
        <v>43.8</v>
      </c>
      <c r="BY25" s="36">
        <v>63.7</v>
      </c>
      <c r="BZ25" s="36">
        <v>86.7</v>
      </c>
      <c r="CA25" s="55"/>
      <c r="CB25" s="36">
        <v>34.799999999999997</v>
      </c>
      <c r="CC25" s="36">
        <v>52.6</v>
      </c>
      <c r="CD25" s="36">
        <v>75.7</v>
      </c>
      <c r="CE25" s="55"/>
      <c r="CF25" s="19" t="s">
        <v>38</v>
      </c>
      <c r="CG25" s="21">
        <f>BD10</f>
        <v>2353.8666666666663</v>
      </c>
      <c r="CH25" s="21">
        <f>BE10</f>
        <v>2673.1666666666665</v>
      </c>
      <c r="CI25" s="21">
        <f>BF10</f>
        <v>3006.0333333333342</v>
      </c>
      <c r="CJ25" s="21">
        <f t="shared" si="39"/>
        <v>326.08333333333394</v>
      </c>
      <c r="CK25" s="40"/>
      <c r="CL25" s="43"/>
      <c r="CM25" s="44"/>
      <c r="CN25" s="44"/>
      <c r="CO25" s="44"/>
    </row>
    <row r="26" spans="1:93">
      <c r="A26" s="93" t="s">
        <v>36</v>
      </c>
      <c r="B26" s="92">
        <v>2315.2999999999997</v>
      </c>
      <c r="C26" s="92">
        <v>2639.1000000000004</v>
      </c>
      <c r="D26" s="92">
        <v>2976.3333333333335</v>
      </c>
      <c r="E26" s="92">
        <v>330.51666666666688</v>
      </c>
      <c r="F26" s="19">
        <v>14</v>
      </c>
      <c r="G26" s="71">
        <v>44075</v>
      </c>
      <c r="H26" s="34">
        <v>44.8</v>
      </c>
      <c r="I26" s="34">
        <v>67.099999999999994</v>
      </c>
      <c r="J26" s="35">
        <v>92.4</v>
      </c>
      <c r="K26" s="54"/>
      <c r="L26" s="35">
        <v>59.5</v>
      </c>
      <c r="M26" s="35">
        <v>77.5</v>
      </c>
      <c r="N26" s="35">
        <v>98.5</v>
      </c>
      <c r="O26" s="54"/>
      <c r="P26" s="36">
        <v>70.5</v>
      </c>
      <c r="Q26" s="35">
        <v>93.4</v>
      </c>
      <c r="R26" s="35">
        <v>119</v>
      </c>
      <c r="S26" s="54"/>
      <c r="T26" s="35">
        <v>75.8</v>
      </c>
      <c r="U26" s="35">
        <v>94.6</v>
      </c>
      <c r="V26" s="35">
        <v>115.9</v>
      </c>
      <c r="W26" s="54"/>
      <c r="X26" s="35">
        <v>71.3</v>
      </c>
      <c r="Y26" s="35">
        <v>92.5</v>
      </c>
      <c r="Z26" s="35">
        <v>115.4</v>
      </c>
      <c r="AA26" s="54"/>
      <c r="AB26" s="35">
        <v>45.6</v>
      </c>
      <c r="AC26" s="35">
        <v>61.3</v>
      </c>
      <c r="AD26" s="35">
        <v>79.599999999999994</v>
      </c>
      <c r="AE26" s="55"/>
      <c r="AF26" s="35">
        <v>41.4</v>
      </c>
      <c r="AG26" s="35">
        <v>54.2</v>
      </c>
      <c r="AH26" s="35">
        <v>69.900000000000006</v>
      </c>
      <c r="AI26" s="55"/>
      <c r="AJ26" s="36">
        <v>57.1</v>
      </c>
      <c r="AK26" s="36">
        <v>75.599999999999994</v>
      </c>
      <c r="AL26" s="36">
        <v>97</v>
      </c>
      <c r="AM26" s="55"/>
      <c r="AN26" s="35">
        <v>70.099999999999994</v>
      </c>
      <c r="AO26" s="35">
        <v>91.9</v>
      </c>
      <c r="AP26" s="35">
        <v>116.4</v>
      </c>
      <c r="AQ26" s="55"/>
      <c r="AR26" s="35">
        <v>52.5</v>
      </c>
      <c r="AS26" s="35">
        <v>71.8</v>
      </c>
      <c r="AT26" s="35">
        <v>94.7</v>
      </c>
      <c r="AU26" s="55"/>
      <c r="AV26" s="36">
        <v>82.2</v>
      </c>
      <c r="AW26" s="36">
        <v>104.8</v>
      </c>
      <c r="AX26" s="36">
        <v>129.9</v>
      </c>
      <c r="AY26" s="55"/>
      <c r="AZ26" s="35">
        <v>100.1</v>
      </c>
      <c r="BA26" s="35">
        <v>125.6</v>
      </c>
      <c r="BB26" s="35">
        <v>152.4</v>
      </c>
      <c r="BC26" s="55"/>
      <c r="BD26" s="35">
        <v>106.3</v>
      </c>
      <c r="BE26" s="35">
        <v>130.69999999999999</v>
      </c>
      <c r="BF26" s="35">
        <v>156.80000000000001</v>
      </c>
      <c r="BG26" s="55"/>
      <c r="BH26" s="35">
        <v>114.1</v>
      </c>
      <c r="BI26" s="35">
        <v>140.69999999999999</v>
      </c>
      <c r="BJ26" s="35">
        <v>168.7</v>
      </c>
      <c r="BK26" s="55"/>
      <c r="BL26" s="35">
        <v>112.7</v>
      </c>
      <c r="BM26" s="35">
        <v>138</v>
      </c>
      <c r="BN26" s="35">
        <v>165.4</v>
      </c>
      <c r="BO26" s="59"/>
      <c r="BP26" s="35">
        <v>113.8</v>
      </c>
      <c r="BQ26" s="35">
        <v>138.9</v>
      </c>
      <c r="BR26" s="35">
        <v>165.3</v>
      </c>
      <c r="BS26" s="55"/>
      <c r="BT26" s="35">
        <v>102.1</v>
      </c>
      <c r="BU26" s="35">
        <v>127.1</v>
      </c>
      <c r="BV26" s="35">
        <v>154.1</v>
      </c>
      <c r="BW26" s="55"/>
      <c r="BX26" s="36">
        <v>90.5</v>
      </c>
      <c r="BY26" s="36">
        <v>114.4</v>
      </c>
      <c r="BZ26" s="36">
        <v>140.5</v>
      </c>
      <c r="CA26" s="55"/>
      <c r="CB26" s="36">
        <v>76.099999999999994</v>
      </c>
      <c r="CC26" s="36">
        <v>100.7</v>
      </c>
      <c r="CD26" s="36">
        <v>128.19999999999999</v>
      </c>
      <c r="CE26" s="55"/>
      <c r="CF26" s="19" t="s">
        <v>36</v>
      </c>
      <c r="CG26" s="21">
        <f>BH10</f>
        <v>2315.2999999999997</v>
      </c>
      <c r="CH26" s="21">
        <f>BI10</f>
        <v>2639.1000000000004</v>
      </c>
      <c r="CI26" s="21">
        <f>BJ10</f>
        <v>2976.3333333333335</v>
      </c>
      <c r="CJ26" s="21">
        <f t="shared" si="39"/>
        <v>330.51666666666688</v>
      </c>
      <c r="CK26" s="40"/>
      <c r="CL26" s="43"/>
      <c r="CM26" s="44"/>
      <c r="CN26" s="44"/>
      <c r="CO26" s="44"/>
    </row>
    <row r="27" spans="1:93">
      <c r="A27" s="93" t="s">
        <v>37</v>
      </c>
      <c r="B27" s="92">
        <v>2336.6333333333337</v>
      </c>
      <c r="C27" s="92">
        <v>2660.6333333333337</v>
      </c>
      <c r="D27" s="92">
        <v>2998.2000000000007</v>
      </c>
      <c r="E27" s="92">
        <v>330.78333333333353</v>
      </c>
      <c r="F27" s="19">
        <v>15</v>
      </c>
      <c r="G27" s="71">
        <v>44105</v>
      </c>
      <c r="H27" s="34">
        <v>125</v>
      </c>
      <c r="I27" s="34">
        <v>156</v>
      </c>
      <c r="J27" s="35">
        <v>187</v>
      </c>
      <c r="K27" s="54"/>
      <c r="L27" s="35">
        <v>124.1</v>
      </c>
      <c r="M27" s="35">
        <v>154.5</v>
      </c>
      <c r="N27" s="35">
        <v>185.4</v>
      </c>
      <c r="O27" s="54"/>
      <c r="P27" s="36">
        <v>165.7</v>
      </c>
      <c r="Q27" s="35">
        <v>196.7</v>
      </c>
      <c r="R27" s="35">
        <v>227.7</v>
      </c>
      <c r="S27" s="54"/>
      <c r="T27" s="35">
        <v>147.5</v>
      </c>
      <c r="U27" s="35">
        <v>178</v>
      </c>
      <c r="V27" s="35">
        <v>208.9</v>
      </c>
      <c r="W27" s="54"/>
      <c r="X27" s="35">
        <v>161.5</v>
      </c>
      <c r="Y27" s="35">
        <v>192.3</v>
      </c>
      <c r="Z27" s="35">
        <v>223.3</v>
      </c>
      <c r="AA27" s="54"/>
      <c r="AB27" s="35">
        <v>125.2</v>
      </c>
      <c r="AC27" s="35">
        <v>155.30000000000001</v>
      </c>
      <c r="AD27" s="35">
        <v>185.9</v>
      </c>
      <c r="AE27" s="55"/>
      <c r="AF27" s="35">
        <v>96</v>
      </c>
      <c r="AG27" s="35">
        <v>124.7</v>
      </c>
      <c r="AH27" s="35">
        <v>155.1</v>
      </c>
      <c r="AI27" s="55"/>
      <c r="AJ27" s="36">
        <v>132.19999999999999</v>
      </c>
      <c r="AK27" s="36">
        <v>162.5</v>
      </c>
      <c r="AL27" s="36">
        <v>193.3</v>
      </c>
      <c r="AM27" s="55"/>
      <c r="AN27" s="35">
        <v>156.19999999999999</v>
      </c>
      <c r="AO27" s="35">
        <v>187.1</v>
      </c>
      <c r="AP27" s="35">
        <v>218.2</v>
      </c>
      <c r="AQ27" s="55"/>
      <c r="AR27" s="35">
        <v>135</v>
      </c>
      <c r="AS27" s="35">
        <v>165.8</v>
      </c>
      <c r="AT27" s="35">
        <v>196.8</v>
      </c>
      <c r="AU27" s="55"/>
      <c r="AV27" s="36">
        <v>171.5</v>
      </c>
      <c r="AW27" s="36">
        <v>202.4</v>
      </c>
      <c r="AX27" s="36">
        <v>233.4</v>
      </c>
      <c r="AY27" s="55"/>
      <c r="AZ27" s="35">
        <v>198.9</v>
      </c>
      <c r="BA27" s="35">
        <v>229.9</v>
      </c>
      <c r="BB27" s="35">
        <v>260.89999999999998</v>
      </c>
      <c r="BC27" s="55"/>
      <c r="BD27" s="35">
        <v>190.5</v>
      </c>
      <c r="BE27" s="35">
        <v>221.5</v>
      </c>
      <c r="BF27" s="35">
        <v>252.5</v>
      </c>
      <c r="BG27" s="55"/>
      <c r="BH27" s="35">
        <v>192.3</v>
      </c>
      <c r="BI27" s="35">
        <v>223.3</v>
      </c>
      <c r="BJ27" s="35">
        <v>254.3</v>
      </c>
      <c r="BK27" s="55"/>
      <c r="BL27" s="35">
        <v>185.1</v>
      </c>
      <c r="BM27" s="35">
        <v>216.1</v>
      </c>
      <c r="BN27" s="35">
        <v>247.1</v>
      </c>
      <c r="BO27" s="59"/>
      <c r="BP27" s="35">
        <v>196.8</v>
      </c>
      <c r="BQ27" s="35">
        <v>227.9</v>
      </c>
      <c r="BR27" s="35">
        <v>258.89999999999998</v>
      </c>
      <c r="BS27" s="55"/>
      <c r="BT27" s="35">
        <v>195</v>
      </c>
      <c r="BU27" s="35">
        <v>226</v>
      </c>
      <c r="BV27" s="35">
        <v>257.10000000000002</v>
      </c>
      <c r="BW27" s="55"/>
      <c r="BX27" s="36">
        <v>182.8</v>
      </c>
      <c r="BY27" s="36">
        <v>213.9</v>
      </c>
      <c r="BZ27" s="36">
        <v>244.9</v>
      </c>
      <c r="CA27" s="55"/>
      <c r="CB27" s="36">
        <v>181.6</v>
      </c>
      <c r="CC27" s="36">
        <v>212.6</v>
      </c>
      <c r="CD27" s="36">
        <v>243.7</v>
      </c>
      <c r="CE27" s="55"/>
      <c r="CF27" s="19" t="s">
        <v>37</v>
      </c>
      <c r="CG27" s="21">
        <f>BL10</f>
        <v>2336.6333333333337</v>
      </c>
      <c r="CH27" s="21">
        <f>BM10</f>
        <v>2660.6333333333337</v>
      </c>
      <c r="CI27" s="21">
        <f>BN10</f>
        <v>2998.2000000000007</v>
      </c>
      <c r="CJ27" s="21">
        <f t="shared" si="39"/>
        <v>330.78333333333353</v>
      </c>
      <c r="CL27" s="43"/>
      <c r="CM27" s="44"/>
      <c r="CN27" s="44"/>
      <c r="CO27" s="44"/>
    </row>
    <row r="28" spans="1:93">
      <c r="A28" s="93" t="s">
        <v>40</v>
      </c>
      <c r="B28" s="92">
        <v>2507.4333333333338</v>
      </c>
      <c r="C28" s="92">
        <v>2840.7000000000003</v>
      </c>
      <c r="D28" s="92">
        <v>3185.6000000000004</v>
      </c>
      <c r="E28" s="92">
        <v>339.08333333333326</v>
      </c>
      <c r="F28" s="19">
        <v>16</v>
      </c>
      <c r="G28" s="71">
        <v>44136</v>
      </c>
      <c r="H28" s="34">
        <v>157.19999999999999</v>
      </c>
      <c r="I28" s="34">
        <v>187.1</v>
      </c>
      <c r="J28" s="35">
        <v>217.1</v>
      </c>
      <c r="K28" s="54"/>
      <c r="L28" s="35">
        <v>182.8</v>
      </c>
      <c r="M28" s="35">
        <v>212.7</v>
      </c>
      <c r="N28" s="35">
        <v>242.7</v>
      </c>
      <c r="O28" s="54"/>
      <c r="P28" s="36">
        <v>206.9</v>
      </c>
      <c r="Q28" s="35">
        <v>236.8</v>
      </c>
      <c r="R28" s="35">
        <v>266.8</v>
      </c>
      <c r="S28" s="54"/>
      <c r="T28" s="35">
        <v>211.6</v>
      </c>
      <c r="U28" s="35">
        <v>241</v>
      </c>
      <c r="V28" s="35">
        <v>271</v>
      </c>
      <c r="W28" s="54"/>
      <c r="X28" s="35">
        <v>211.8</v>
      </c>
      <c r="Y28" s="35">
        <v>241.5</v>
      </c>
      <c r="Z28" s="35">
        <v>271.39999999999998</v>
      </c>
      <c r="AA28" s="54"/>
      <c r="AB28" s="35">
        <v>181.8</v>
      </c>
      <c r="AC28" s="35">
        <v>211</v>
      </c>
      <c r="AD28" s="35">
        <v>240.8</v>
      </c>
      <c r="AE28" s="55"/>
      <c r="AF28" s="35">
        <v>137.19999999999999</v>
      </c>
      <c r="AG28" s="35">
        <v>166.4</v>
      </c>
      <c r="AH28" s="35">
        <v>196.1</v>
      </c>
      <c r="AI28" s="55"/>
      <c r="AJ28" s="36">
        <v>195.9</v>
      </c>
      <c r="AK28" s="36">
        <v>224.9</v>
      </c>
      <c r="AL28" s="36">
        <v>254.2</v>
      </c>
      <c r="AM28" s="55"/>
      <c r="AN28" s="35">
        <v>181.5</v>
      </c>
      <c r="AO28" s="35">
        <v>211.3</v>
      </c>
      <c r="AP28" s="35">
        <v>241.3</v>
      </c>
      <c r="AQ28" s="55"/>
      <c r="AR28" s="35">
        <v>176.5</v>
      </c>
      <c r="AS28" s="35">
        <v>206.3</v>
      </c>
      <c r="AT28" s="35">
        <v>236.2</v>
      </c>
      <c r="AU28" s="55"/>
      <c r="AV28" s="36">
        <v>202.8</v>
      </c>
      <c r="AW28" s="36">
        <v>232.4</v>
      </c>
      <c r="AX28" s="36">
        <v>262.3</v>
      </c>
      <c r="AY28" s="55"/>
      <c r="AZ28" s="35">
        <v>238.5</v>
      </c>
      <c r="BA28" s="35">
        <v>268.39999999999998</v>
      </c>
      <c r="BB28" s="35">
        <v>298.39999999999998</v>
      </c>
      <c r="BC28" s="55"/>
      <c r="BD28" s="35">
        <v>222.6</v>
      </c>
      <c r="BE28" s="35">
        <v>252.5</v>
      </c>
      <c r="BF28" s="35">
        <v>282.5</v>
      </c>
      <c r="BG28" s="55"/>
      <c r="BH28" s="35">
        <v>225.7</v>
      </c>
      <c r="BI28" s="35">
        <v>255.7</v>
      </c>
      <c r="BJ28" s="35">
        <v>285.7</v>
      </c>
      <c r="BK28" s="55"/>
      <c r="BL28" s="35">
        <v>225.4</v>
      </c>
      <c r="BM28" s="35">
        <v>255.4</v>
      </c>
      <c r="BN28" s="35">
        <v>285.39999999999998</v>
      </c>
      <c r="BO28" s="59"/>
      <c r="BP28" s="35">
        <v>243.9</v>
      </c>
      <c r="BQ28" s="35">
        <v>273.89999999999998</v>
      </c>
      <c r="BR28" s="35">
        <v>303.89999999999998</v>
      </c>
      <c r="BS28" s="55"/>
      <c r="BT28" s="35">
        <v>217.3</v>
      </c>
      <c r="BU28" s="35">
        <v>247.3</v>
      </c>
      <c r="BV28" s="35">
        <v>277.3</v>
      </c>
      <c r="BW28" s="55"/>
      <c r="BX28" s="36">
        <v>209.8</v>
      </c>
      <c r="BY28" s="36">
        <v>239.7</v>
      </c>
      <c r="BZ28" s="36">
        <v>269.7</v>
      </c>
      <c r="CA28" s="55"/>
      <c r="CB28" s="36">
        <v>206.2</v>
      </c>
      <c r="CC28" s="36">
        <v>236.2</v>
      </c>
      <c r="CD28" s="36">
        <v>266.2</v>
      </c>
      <c r="CE28" s="55"/>
      <c r="CF28" s="19" t="s">
        <v>40</v>
      </c>
      <c r="CG28" s="21">
        <f>BP10</f>
        <v>2507.4333333333338</v>
      </c>
      <c r="CH28" s="21">
        <f>BQ10</f>
        <v>2840.7000000000003</v>
      </c>
      <c r="CI28" s="21">
        <f>BR10</f>
        <v>3185.6000000000004</v>
      </c>
      <c r="CJ28" s="21">
        <f t="shared" si="39"/>
        <v>339.08333333333326</v>
      </c>
      <c r="CL28" s="43"/>
      <c r="CM28" s="44"/>
      <c r="CN28" s="44"/>
      <c r="CO28" s="44"/>
    </row>
    <row r="29" spans="1:93">
      <c r="A29" s="93" t="s">
        <v>35</v>
      </c>
      <c r="B29" s="92">
        <v>2247.333333333333</v>
      </c>
      <c r="C29" s="92">
        <v>2573.0333333333328</v>
      </c>
      <c r="D29" s="92">
        <v>2913.1333333333332</v>
      </c>
      <c r="E29" s="92">
        <v>332.90000000000009</v>
      </c>
      <c r="F29" s="19">
        <v>17</v>
      </c>
      <c r="G29" s="71">
        <v>44166</v>
      </c>
      <c r="H29" s="34">
        <v>241.4</v>
      </c>
      <c r="I29" s="34">
        <v>272.39999999999998</v>
      </c>
      <c r="J29" s="35">
        <v>303.39999999999998</v>
      </c>
      <c r="K29" s="54"/>
      <c r="L29" s="35">
        <v>263.3</v>
      </c>
      <c r="M29" s="35">
        <v>294.3</v>
      </c>
      <c r="N29" s="35">
        <v>325.3</v>
      </c>
      <c r="O29" s="54"/>
      <c r="P29" s="36">
        <v>304.8</v>
      </c>
      <c r="Q29" s="35">
        <v>335.8</v>
      </c>
      <c r="R29" s="35">
        <v>366.8</v>
      </c>
      <c r="S29" s="54"/>
      <c r="T29" s="35">
        <v>315.39999999999998</v>
      </c>
      <c r="U29" s="35">
        <v>346.4</v>
      </c>
      <c r="V29" s="35">
        <v>377.4</v>
      </c>
      <c r="W29" s="54"/>
      <c r="X29" s="35">
        <v>323.7</v>
      </c>
      <c r="Y29" s="35">
        <v>354.7</v>
      </c>
      <c r="Z29" s="35">
        <v>385.7</v>
      </c>
      <c r="AA29" s="54"/>
      <c r="AB29" s="35">
        <v>293.3</v>
      </c>
      <c r="AC29" s="35">
        <v>324.3</v>
      </c>
      <c r="AD29" s="35">
        <v>355.3</v>
      </c>
      <c r="AE29" s="55"/>
      <c r="AF29" s="35">
        <v>258.8</v>
      </c>
      <c r="AG29" s="35">
        <v>289.8</v>
      </c>
      <c r="AH29" s="35">
        <v>320.8</v>
      </c>
      <c r="AI29" s="55"/>
      <c r="AJ29" s="36">
        <v>308</v>
      </c>
      <c r="AK29" s="36">
        <v>339</v>
      </c>
      <c r="AL29" s="36">
        <v>370</v>
      </c>
      <c r="AM29" s="55"/>
      <c r="AN29" s="35">
        <v>293.10000000000002</v>
      </c>
      <c r="AO29" s="35">
        <v>324.10000000000002</v>
      </c>
      <c r="AP29" s="35">
        <v>355.1</v>
      </c>
      <c r="AQ29" s="55"/>
      <c r="AR29" s="35">
        <v>270.3</v>
      </c>
      <c r="AS29" s="35">
        <v>301.3</v>
      </c>
      <c r="AT29" s="35">
        <v>332.3</v>
      </c>
      <c r="AU29" s="55"/>
      <c r="AV29" s="36">
        <v>327.2</v>
      </c>
      <c r="AW29" s="36">
        <v>358.2</v>
      </c>
      <c r="AX29" s="36">
        <v>389.2</v>
      </c>
      <c r="AY29" s="55"/>
      <c r="AZ29" s="35">
        <v>357.4</v>
      </c>
      <c r="BA29" s="35">
        <v>388.4</v>
      </c>
      <c r="BB29" s="35">
        <v>419.4</v>
      </c>
      <c r="BC29" s="55"/>
      <c r="BD29" s="35">
        <v>341.5</v>
      </c>
      <c r="BE29" s="35">
        <v>372.5</v>
      </c>
      <c r="BF29" s="35">
        <v>403.5</v>
      </c>
      <c r="BG29" s="55"/>
      <c r="BH29" s="35">
        <v>346.9</v>
      </c>
      <c r="BI29" s="35">
        <v>377.9</v>
      </c>
      <c r="BJ29" s="35">
        <v>408.9</v>
      </c>
      <c r="BK29" s="55"/>
      <c r="BL29" s="35">
        <v>338.1</v>
      </c>
      <c r="BM29" s="35">
        <v>369.1</v>
      </c>
      <c r="BN29" s="35">
        <v>400.1</v>
      </c>
      <c r="BO29" s="59"/>
      <c r="BP29" s="35">
        <v>334.1</v>
      </c>
      <c r="BQ29" s="35">
        <v>365.1</v>
      </c>
      <c r="BR29" s="35">
        <v>396.1</v>
      </c>
      <c r="BS29" s="55"/>
      <c r="BT29" s="35">
        <v>336.9</v>
      </c>
      <c r="BU29" s="35">
        <v>367.9</v>
      </c>
      <c r="BV29" s="35">
        <v>398.9</v>
      </c>
      <c r="BW29" s="55"/>
      <c r="BX29" s="36">
        <v>325.5</v>
      </c>
      <c r="BY29" s="36">
        <v>356.5</v>
      </c>
      <c r="BZ29" s="36">
        <v>387.5</v>
      </c>
      <c r="CA29" s="55"/>
      <c r="CB29" s="36">
        <v>306.2</v>
      </c>
      <c r="CC29" s="36">
        <v>337.2</v>
      </c>
      <c r="CD29" s="36">
        <v>368.2</v>
      </c>
      <c r="CE29" s="55"/>
      <c r="CF29" s="19" t="s">
        <v>35</v>
      </c>
      <c r="CG29" s="21">
        <f>BT10</f>
        <v>2247.333333333333</v>
      </c>
      <c r="CH29" s="21">
        <f>BU10</f>
        <v>2573.0333333333328</v>
      </c>
      <c r="CI29" s="21">
        <f>BV10</f>
        <v>2913.1333333333332</v>
      </c>
      <c r="CJ29" s="21">
        <f t="shared" si="39"/>
        <v>332.90000000000009</v>
      </c>
      <c r="CL29" s="43"/>
      <c r="CM29" s="44"/>
      <c r="CN29" s="44"/>
      <c r="CO29" s="44"/>
    </row>
    <row r="30" spans="1:93">
      <c r="A30" s="93" t="s">
        <v>34</v>
      </c>
      <c r="B30" s="92">
        <v>2142.233333333334</v>
      </c>
      <c r="C30" s="92">
        <v>2462.6666666666665</v>
      </c>
      <c r="D30" s="92">
        <v>2796.9666666666658</v>
      </c>
      <c r="E30" s="92">
        <v>327.36666666666588</v>
      </c>
      <c r="F30" s="19">
        <v>18</v>
      </c>
      <c r="G30" s="71">
        <v>44197</v>
      </c>
      <c r="H30" s="34">
        <v>294.60000000000002</v>
      </c>
      <c r="I30" s="34">
        <v>325.60000000000002</v>
      </c>
      <c r="J30" s="35">
        <v>356.6</v>
      </c>
      <c r="K30" s="54"/>
      <c r="L30" s="35">
        <v>322.2</v>
      </c>
      <c r="M30" s="35">
        <v>353.2</v>
      </c>
      <c r="N30" s="35">
        <v>384.2</v>
      </c>
      <c r="O30" s="54"/>
      <c r="P30" s="36">
        <v>363.4</v>
      </c>
      <c r="Q30" s="35">
        <v>394.4</v>
      </c>
      <c r="R30" s="35">
        <v>425.4</v>
      </c>
      <c r="S30" s="54"/>
      <c r="T30" s="35">
        <v>363.7</v>
      </c>
      <c r="U30" s="35">
        <v>394.7</v>
      </c>
      <c r="V30" s="35">
        <v>425.7</v>
      </c>
      <c r="W30" s="54"/>
      <c r="X30" s="35">
        <v>379.3</v>
      </c>
      <c r="Y30" s="35">
        <v>410.3</v>
      </c>
      <c r="Z30" s="35">
        <v>441.3</v>
      </c>
      <c r="AA30" s="54"/>
      <c r="AB30" s="35">
        <v>349.1</v>
      </c>
      <c r="AC30" s="35">
        <v>380.1</v>
      </c>
      <c r="AD30" s="35">
        <v>411.1</v>
      </c>
      <c r="AE30" s="55"/>
      <c r="AF30" s="35">
        <v>336.2</v>
      </c>
      <c r="AG30" s="35">
        <v>367.2</v>
      </c>
      <c r="AH30" s="35">
        <v>398.2</v>
      </c>
      <c r="AI30" s="55"/>
      <c r="AJ30" s="36">
        <v>367</v>
      </c>
      <c r="AK30" s="36">
        <v>398</v>
      </c>
      <c r="AL30" s="36">
        <v>429</v>
      </c>
      <c r="AM30" s="55"/>
      <c r="AN30" s="35">
        <v>344.5</v>
      </c>
      <c r="AO30" s="35">
        <v>375.5</v>
      </c>
      <c r="AP30" s="35">
        <v>406.5</v>
      </c>
      <c r="AQ30" s="55"/>
      <c r="AR30" s="35">
        <v>326.8</v>
      </c>
      <c r="AS30" s="35">
        <v>357.8</v>
      </c>
      <c r="AT30" s="35">
        <v>388.8</v>
      </c>
      <c r="AU30" s="55"/>
      <c r="AV30" s="36">
        <v>387.9</v>
      </c>
      <c r="AW30" s="36">
        <v>418.9</v>
      </c>
      <c r="AX30" s="36">
        <v>449.9</v>
      </c>
      <c r="AY30" s="55"/>
      <c r="AZ30" s="35">
        <v>415.3</v>
      </c>
      <c r="BA30" s="35">
        <v>446.3</v>
      </c>
      <c r="BB30" s="35">
        <v>477.3</v>
      </c>
      <c r="BC30" s="55"/>
      <c r="BD30" s="35">
        <v>418.3</v>
      </c>
      <c r="BE30" s="35">
        <v>449.3</v>
      </c>
      <c r="BF30" s="35">
        <v>480.3</v>
      </c>
      <c r="BG30" s="55"/>
      <c r="BH30" s="35">
        <v>440</v>
      </c>
      <c r="BI30" s="35">
        <v>471</v>
      </c>
      <c r="BJ30" s="35">
        <v>502</v>
      </c>
      <c r="BK30" s="55"/>
      <c r="BL30" s="35">
        <v>432.3</v>
      </c>
      <c r="BM30" s="35">
        <v>463.3</v>
      </c>
      <c r="BN30" s="35">
        <v>494.3</v>
      </c>
      <c r="BO30" s="59"/>
      <c r="BP30" s="35">
        <v>427.4</v>
      </c>
      <c r="BQ30" s="35">
        <v>458.4</v>
      </c>
      <c r="BR30" s="35">
        <v>489.4</v>
      </c>
      <c r="BS30" s="55"/>
      <c r="BT30" s="35">
        <v>394.5</v>
      </c>
      <c r="BU30" s="35">
        <v>425.5</v>
      </c>
      <c r="BV30" s="35">
        <v>456.5</v>
      </c>
      <c r="BW30" s="55"/>
      <c r="BX30" s="36">
        <v>358.2</v>
      </c>
      <c r="BY30" s="36">
        <v>389.2</v>
      </c>
      <c r="BZ30" s="36">
        <v>420.2</v>
      </c>
      <c r="CA30" s="55"/>
      <c r="CB30" s="36">
        <v>335.4</v>
      </c>
      <c r="CC30" s="36">
        <v>366.4</v>
      </c>
      <c r="CD30" s="36">
        <v>397.4</v>
      </c>
      <c r="CE30" s="55"/>
      <c r="CF30" s="19" t="s">
        <v>34</v>
      </c>
      <c r="CG30" s="21">
        <f>BX10</f>
        <v>2142.233333333334</v>
      </c>
      <c r="CH30" s="21">
        <f>BY10</f>
        <v>2462.6666666666665</v>
      </c>
      <c r="CI30" s="21">
        <f>BZ10</f>
        <v>2796.9666666666658</v>
      </c>
      <c r="CJ30" s="21">
        <f t="shared" si="39"/>
        <v>327.36666666666588</v>
      </c>
      <c r="CL30" s="43"/>
      <c r="CM30" s="44"/>
      <c r="CN30" s="44"/>
      <c r="CO30" s="44"/>
    </row>
    <row r="31" spans="1:93" ht="16.5" thickBot="1">
      <c r="A31" s="93" t="s">
        <v>33</v>
      </c>
      <c r="B31" s="92">
        <v>2051</v>
      </c>
      <c r="C31" s="92">
        <v>2379.9666666666667</v>
      </c>
      <c r="D31" s="92">
        <v>2723.0666666666662</v>
      </c>
      <c r="E31" s="92">
        <v>336.03333333333308</v>
      </c>
      <c r="F31" s="19">
        <v>19</v>
      </c>
      <c r="G31" s="71">
        <v>44228</v>
      </c>
      <c r="H31" s="34">
        <v>241.7</v>
      </c>
      <c r="I31" s="34">
        <v>269.7</v>
      </c>
      <c r="J31" s="35">
        <v>297.7</v>
      </c>
      <c r="K31" s="54"/>
      <c r="L31" s="35">
        <v>266.5</v>
      </c>
      <c r="M31" s="35">
        <v>294.5</v>
      </c>
      <c r="N31" s="35">
        <v>322.5</v>
      </c>
      <c r="O31" s="54"/>
      <c r="P31" s="36">
        <v>292.10000000000002</v>
      </c>
      <c r="Q31" s="35">
        <v>320.10000000000002</v>
      </c>
      <c r="R31" s="35">
        <v>348.1</v>
      </c>
      <c r="S31" s="54"/>
      <c r="T31" s="35">
        <v>288</v>
      </c>
      <c r="U31" s="35">
        <v>316</v>
      </c>
      <c r="V31" s="35">
        <v>344</v>
      </c>
      <c r="W31" s="54"/>
      <c r="X31" s="35">
        <v>295.8</v>
      </c>
      <c r="Y31" s="35">
        <v>323.8</v>
      </c>
      <c r="Z31" s="35">
        <v>351.8</v>
      </c>
      <c r="AA31" s="54"/>
      <c r="AB31" s="35">
        <v>266</v>
      </c>
      <c r="AC31" s="35">
        <v>294</v>
      </c>
      <c r="AD31" s="35">
        <v>322</v>
      </c>
      <c r="AE31" s="55"/>
      <c r="AF31" s="35">
        <v>258</v>
      </c>
      <c r="AG31" s="35">
        <v>286</v>
      </c>
      <c r="AH31" s="35">
        <v>314</v>
      </c>
      <c r="AI31" s="55"/>
      <c r="AJ31" s="36">
        <v>283.2</v>
      </c>
      <c r="AK31" s="36">
        <v>311.10000000000002</v>
      </c>
      <c r="AL31" s="36">
        <v>339.1</v>
      </c>
      <c r="AM31" s="55"/>
      <c r="AN31" s="35">
        <v>277.8</v>
      </c>
      <c r="AO31" s="35">
        <v>305.8</v>
      </c>
      <c r="AP31" s="35">
        <v>333.8</v>
      </c>
      <c r="AQ31" s="55"/>
      <c r="AR31" s="35">
        <v>270.10000000000002</v>
      </c>
      <c r="AS31" s="35">
        <v>298.10000000000002</v>
      </c>
      <c r="AT31" s="35">
        <v>326.10000000000002</v>
      </c>
      <c r="AU31" s="55"/>
      <c r="AV31" s="36">
        <v>287.2</v>
      </c>
      <c r="AW31" s="36">
        <v>315.2</v>
      </c>
      <c r="AX31" s="36">
        <v>343.2</v>
      </c>
      <c r="AY31" s="55"/>
      <c r="AZ31" s="35">
        <v>335.8</v>
      </c>
      <c r="BA31" s="35">
        <v>363.8</v>
      </c>
      <c r="BB31" s="35">
        <v>391.8</v>
      </c>
      <c r="BC31" s="55"/>
      <c r="BD31" s="35">
        <v>320.8</v>
      </c>
      <c r="BE31" s="35">
        <v>348.8</v>
      </c>
      <c r="BF31" s="35">
        <v>376.8</v>
      </c>
      <c r="BG31" s="55"/>
      <c r="BH31" s="35">
        <v>312.5</v>
      </c>
      <c r="BI31" s="35">
        <v>340.5</v>
      </c>
      <c r="BJ31" s="35">
        <v>368.5</v>
      </c>
      <c r="BK31" s="55"/>
      <c r="BL31" s="35">
        <v>311</v>
      </c>
      <c r="BM31" s="35">
        <v>339</v>
      </c>
      <c r="BN31" s="35">
        <v>367</v>
      </c>
      <c r="BO31" s="59"/>
      <c r="BP31" s="35">
        <v>338.6</v>
      </c>
      <c r="BQ31" s="35">
        <v>366.6</v>
      </c>
      <c r="BR31" s="35">
        <v>394.6</v>
      </c>
      <c r="BS31" s="55"/>
      <c r="BT31" s="35">
        <v>286.10000000000002</v>
      </c>
      <c r="BU31" s="35">
        <v>314.10000000000002</v>
      </c>
      <c r="BV31" s="35">
        <v>342.1</v>
      </c>
      <c r="BW31" s="55"/>
      <c r="BX31" s="36">
        <v>260.5</v>
      </c>
      <c r="BY31" s="36">
        <v>288.5</v>
      </c>
      <c r="BZ31" s="36">
        <v>316.5</v>
      </c>
      <c r="CA31" s="55"/>
      <c r="CB31" s="36">
        <v>265.2</v>
      </c>
      <c r="CC31" s="36">
        <v>293.2</v>
      </c>
      <c r="CD31" s="36">
        <v>321.2</v>
      </c>
      <c r="CE31" s="55"/>
      <c r="CF31" s="19" t="s">
        <v>33</v>
      </c>
      <c r="CG31" s="22">
        <f>CB10</f>
        <v>2051</v>
      </c>
      <c r="CH31" s="22">
        <f>CC10</f>
        <v>2379.9666666666667</v>
      </c>
      <c r="CI31" s="22">
        <f>CD10</f>
        <v>2723.0666666666662</v>
      </c>
      <c r="CJ31" s="22">
        <f t="shared" si="39"/>
        <v>336.03333333333308</v>
      </c>
      <c r="CL31" s="43"/>
      <c r="CM31" s="44"/>
      <c r="CN31" s="44"/>
      <c r="CO31" s="44"/>
    </row>
    <row r="32" spans="1:93" ht="16.5" thickTop="1">
      <c r="F32" s="19">
        <v>20</v>
      </c>
      <c r="G32" s="71">
        <v>44256</v>
      </c>
      <c r="H32" s="34">
        <v>230.5</v>
      </c>
      <c r="I32" s="34">
        <v>261.10000000000002</v>
      </c>
      <c r="J32" s="35">
        <v>291.89999999999998</v>
      </c>
      <c r="K32" s="54"/>
      <c r="L32" s="35">
        <v>232.3</v>
      </c>
      <c r="M32" s="35">
        <v>262.89999999999998</v>
      </c>
      <c r="N32" s="35">
        <v>293.7</v>
      </c>
      <c r="O32" s="54"/>
      <c r="P32" s="36">
        <v>269.60000000000002</v>
      </c>
      <c r="Q32" s="35">
        <v>299.7</v>
      </c>
      <c r="R32" s="35">
        <v>330.1</v>
      </c>
      <c r="S32" s="54"/>
      <c r="T32" s="35">
        <v>268.5</v>
      </c>
      <c r="U32" s="35">
        <v>298.7</v>
      </c>
      <c r="V32" s="35">
        <v>328.8</v>
      </c>
      <c r="W32" s="54"/>
      <c r="X32" s="35">
        <v>262.8</v>
      </c>
      <c r="Y32" s="35">
        <v>292.8</v>
      </c>
      <c r="Z32" s="35">
        <v>323.10000000000002</v>
      </c>
      <c r="AA32" s="54"/>
      <c r="AB32" s="35">
        <v>241.2</v>
      </c>
      <c r="AC32" s="35">
        <v>271</v>
      </c>
      <c r="AD32" s="35">
        <v>300.89999999999998</v>
      </c>
      <c r="AE32" s="55"/>
      <c r="AF32" s="35">
        <v>255.4</v>
      </c>
      <c r="AG32" s="35">
        <v>285.8</v>
      </c>
      <c r="AH32" s="35">
        <v>316.3</v>
      </c>
      <c r="AI32" s="55"/>
      <c r="AJ32" s="36">
        <v>259.10000000000002</v>
      </c>
      <c r="AK32" s="36">
        <v>288.89999999999998</v>
      </c>
      <c r="AL32" s="36">
        <v>319</v>
      </c>
      <c r="AM32" s="55"/>
      <c r="AN32" s="35">
        <v>255.2</v>
      </c>
      <c r="AO32" s="35">
        <v>286</v>
      </c>
      <c r="AP32" s="35">
        <v>317</v>
      </c>
      <c r="AQ32" s="55"/>
      <c r="AR32" s="35">
        <v>249.8</v>
      </c>
      <c r="AS32" s="35">
        <v>280.3</v>
      </c>
      <c r="AT32" s="35">
        <v>310.8</v>
      </c>
      <c r="AU32" s="55"/>
      <c r="AV32" s="36">
        <v>260.10000000000002</v>
      </c>
      <c r="AW32" s="36">
        <v>290.3</v>
      </c>
      <c r="AX32" s="36">
        <v>320.60000000000002</v>
      </c>
      <c r="AY32" s="55"/>
      <c r="AZ32" s="35">
        <v>297.8</v>
      </c>
      <c r="BA32" s="35">
        <v>328.1</v>
      </c>
      <c r="BB32" s="35">
        <v>358.7</v>
      </c>
      <c r="BC32" s="55"/>
      <c r="BD32" s="35">
        <v>274.5</v>
      </c>
      <c r="BE32" s="35">
        <v>305.2</v>
      </c>
      <c r="BF32" s="35">
        <v>335.9</v>
      </c>
      <c r="BG32" s="55"/>
      <c r="BH32" s="35">
        <v>263.7</v>
      </c>
      <c r="BI32" s="35">
        <v>294.60000000000002</v>
      </c>
      <c r="BJ32" s="35">
        <v>325.60000000000002</v>
      </c>
      <c r="BK32" s="55"/>
      <c r="BL32" s="35">
        <v>265.39999999999998</v>
      </c>
      <c r="BM32" s="35">
        <v>296.10000000000002</v>
      </c>
      <c r="BN32" s="35">
        <v>326.8</v>
      </c>
      <c r="BO32" s="59"/>
      <c r="BP32" s="35">
        <v>277.39999999999998</v>
      </c>
      <c r="BQ32" s="35">
        <v>308.10000000000002</v>
      </c>
      <c r="BR32" s="35">
        <v>338.9</v>
      </c>
      <c r="BS32" s="55"/>
      <c r="BT32" s="35">
        <v>263.2</v>
      </c>
      <c r="BU32" s="35">
        <v>294</v>
      </c>
      <c r="BV32" s="35">
        <v>325</v>
      </c>
      <c r="BW32" s="55"/>
      <c r="BX32" s="36">
        <v>252.9</v>
      </c>
      <c r="BY32" s="36">
        <v>283.8</v>
      </c>
      <c r="BZ32" s="36">
        <v>314.7</v>
      </c>
      <c r="CA32" s="55"/>
      <c r="CB32" s="36">
        <v>256.10000000000002</v>
      </c>
      <c r="CC32" s="36">
        <v>287</v>
      </c>
      <c r="CD32" s="36">
        <v>318</v>
      </c>
      <c r="CE32" s="55"/>
    </row>
    <row r="33" spans="6:83">
      <c r="F33" s="19">
        <v>21</v>
      </c>
      <c r="G33" s="71">
        <v>44287</v>
      </c>
      <c r="H33" s="34">
        <v>216.9</v>
      </c>
      <c r="I33" s="34">
        <v>246</v>
      </c>
      <c r="J33" s="35">
        <v>275.7</v>
      </c>
      <c r="K33" s="54"/>
      <c r="L33" s="35">
        <v>228.1</v>
      </c>
      <c r="M33" s="35">
        <v>257.60000000000002</v>
      </c>
      <c r="N33" s="35">
        <v>287.60000000000002</v>
      </c>
      <c r="O33" s="54"/>
      <c r="P33" s="36">
        <v>264.39999999999998</v>
      </c>
      <c r="Q33" s="35">
        <v>294.10000000000002</v>
      </c>
      <c r="R33" s="35">
        <v>324.10000000000002</v>
      </c>
      <c r="S33" s="54"/>
      <c r="T33" s="35">
        <v>281.5</v>
      </c>
      <c r="U33" s="35">
        <v>311.10000000000002</v>
      </c>
      <c r="V33" s="35">
        <v>340.9</v>
      </c>
      <c r="W33" s="54"/>
      <c r="X33" s="35">
        <v>262.7</v>
      </c>
      <c r="Y33" s="35">
        <v>292.3</v>
      </c>
      <c r="Z33" s="35">
        <v>322.2</v>
      </c>
      <c r="AA33" s="54"/>
      <c r="AB33" s="35">
        <v>238.6</v>
      </c>
      <c r="AC33" s="35">
        <v>268.10000000000002</v>
      </c>
      <c r="AD33" s="35">
        <v>298.10000000000002</v>
      </c>
      <c r="AE33" s="55"/>
      <c r="AF33" s="35">
        <v>261.7</v>
      </c>
      <c r="AG33" s="35">
        <v>291.7</v>
      </c>
      <c r="AH33" s="35">
        <v>321.7</v>
      </c>
      <c r="AI33" s="55"/>
      <c r="AJ33" s="36">
        <v>272.60000000000002</v>
      </c>
      <c r="AK33" s="36">
        <v>302.5</v>
      </c>
      <c r="AL33" s="36">
        <v>332.5</v>
      </c>
      <c r="AM33" s="55"/>
      <c r="AN33" s="35">
        <v>258.10000000000002</v>
      </c>
      <c r="AO33" s="35">
        <v>287.60000000000002</v>
      </c>
      <c r="AP33" s="35">
        <v>317.60000000000002</v>
      </c>
      <c r="AQ33" s="55"/>
      <c r="AR33" s="35">
        <v>235.2</v>
      </c>
      <c r="AS33" s="35">
        <v>264.8</v>
      </c>
      <c r="AT33" s="35">
        <v>294.60000000000002</v>
      </c>
      <c r="AU33" s="55"/>
      <c r="AV33" s="36">
        <v>257.3</v>
      </c>
      <c r="AW33" s="36">
        <v>286.60000000000002</v>
      </c>
      <c r="AX33" s="36">
        <v>316.39999999999998</v>
      </c>
      <c r="AY33" s="55"/>
      <c r="AZ33" s="35">
        <v>305.10000000000002</v>
      </c>
      <c r="BA33" s="35">
        <v>335.1</v>
      </c>
      <c r="BB33" s="35">
        <v>365.1</v>
      </c>
      <c r="BC33" s="55"/>
      <c r="BD33" s="35">
        <v>313</v>
      </c>
      <c r="BE33" s="35">
        <v>342.6</v>
      </c>
      <c r="BF33" s="35">
        <v>372.5</v>
      </c>
      <c r="BG33" s="55"/>
      <c r="BH33" s="35">
        <v>280.39999999999998</v>
      </c>
      <c r="BI33" s="35">
        <v>310.10000000000002</v>
      </c>
      <c r="BJ33" s="35">
        <v>339.9</v>
      </c>
      <c r="BK33" s="55"/>
      <c r="BL33" s="35">
        <v>292.39999999999998</v>
      </c>
      <c r="BM33" s="35">
        <v>322</v>
      </c>
      <c r="BN33" s="35">
        <v>351.8</v>
      </c>
      <c r="BO33" s="59"/>
      <c r="BP33" s="35">
        <v>319.60000000000002</v>
      </c>
      <c r="BQ33" s="35">
        <v>349.6</v>
      </c>
      <c r="BR33" s="35">
        <v>379.6</v>
      </c>
      <c r="BS33" s="55"/>
      <c r="BT33" s="35">
        <v>272.39999999999998</v>
      </c>
      <c r="BU33" s="35">
        <v>302.39999999999998</v>
      </c>
      <c r="BV33" s="35">
        <v>332.4</v>
      </c>
      <c r="BW33" s="55"/>
      <c r="BX33" s="36">
        <v>276.7</v>
      </c>
      <c r="BY33" s="36">
        <v>306.60000000000002</v>
      </c>
      <c r="BZ33" s="36">
        <v>336.6</v>
      </c>
      <c r="CA33" s="55"/>
      <c r="CB33" s="36">
        <v>240.8</v>
      </c>
      <c r="CC33" s="36">
        <v>270.8</v>
      </c>
      <c r="CD33" s="36">
        <v>300.8</v>
      </c>
      <c r="CE33" s="55"/>
    </row>
    <row r="34" spans="6:83">
      <c r="F34" s="19">
        <v>22</v>
      </c>
      <c r="G34" s="71">
        <v>44317</v>
      </c>
      <c r="H34" s="34">
        <v>157</v>
      </c>
      <c r="I34" s="34">
        <v>186.5</v>
      </c>
      <c r="J34" s="35">
        <v>216.3</v>
      </c>
      <c r="K34" s="54"/>
      <c r="L34" s="35">
        <v>141.30000000000001</v>
      </c>
      <c r="M34" s="35">
        <v>169.3</v>
      </c>
      <c r="N34" s="35">
        <v>198.3</v>
      </c>
      <c r="O34" s="54"/>
      <c r="P34" s="36">
        <v>177.2</v>
      </c>
      <c r="Q34" s="35">
        <v>206.2</v>
      </c>
      <c r="R34" s="35">
        <v>236</v>
      </c>
      <c r="S34" s="54"/>
      <c r="T34" s="35">
        <v>168.4</v>
      </c>
      <c r="U34" s="35">
        <v>197.5</v>
      </c>
      <c r="V34" s="35">
        <v>227</v>
      </c>
      <c r="W34" s="54"/>
      <c r="X34" s="35">
        <v>169.6</v>
      </c>
      <c r="Y34" s="35">
        <v>198.7</v>
      </c>
      <c r="Z34" s="35">
        <v>228.5</v>
      </c>
      <c r="AA34" s="54"/>
      <c r="AB34" s="35">
        <v>138.9</v>
      </c>
      <c r="AC34" s="35">
        <v>167.3</v>
      </c>
      <c r="AD34" s="35">
        <v>196.2</v>
      </c>
      <c r="AE34" s="55"/>
      <c r="AF34" s="35">
        <v>132.5</v>
      </c>
      <c r="AG34" s="35">
        <v>161.69999999999999</v>
      </c>
      <c r="AH34" s="35">
        <v>191.8</v>
      </c>
      <c r="AI34" s="55"/>
      <c r="AJ34" s="36">
        <v>163</v>
      </c>
      <c r="AK34" s="36">
        <v>191.8</v>
      </c>
      <c r="AL34" s="36">
        <v>221.4</v>
      </c>
      <c r="AM34" s="55"/>
      <c r="AN34" s="35">
        <v>177.9</v>
      </c>
      <c r="AO34" s="35">
        <v>207.6</v>
      </c>
      <c r="AP34" s="35">
        <v>237.6</v>
      </c>
      <c r="AQ34" s="55"/>
      <c r="AR34" s="35">
        <v>154.30000000000001</v>
      </c>
      <c r="AS34" s="35">
        <v>183.1</v>
      </c>
      <c r="AT34" s="35">
        <v>212.4</v>
      </c>
      <c r="AU34" s="55"/>
      <c r="AV34" s="36">
        <v>179.6</v>
      </c>
      <c r="AW34" s="36">
        <v>208.4</v>
      </c>
      <c r="AX34" s="36">
        <v>237.7</v>
      </c>
      <c r="AY34" s="55"/>
      <c r="AZ34" s="35">
        <v>217.1</v>
      </c>
      <c r="BA34" s="35">
        <v>247.2</v>
      </c>
      <c r="BB34" s="35">
        <v>277.60000000000002</v>
      </c>
      <c r="BC34" s="55"/>
      <c r="BD34" s="35">
        <v>206.3</v>
      </c>
      <c r="BE34" s="35">
        <v>235.9</v>
      </c>
      <c r="BF34" s="35">
        <v>266.2</v>
      </c>
      <c r="BG34" s="55"/>
      <c r="BH34" s="35">
        <v>193</v>
      </c>
      <c r="BI34" s="35">
        <v>222.4</v>
      </c>
      <c r="BJ34" s="35">
        <v>252</v>
      </c>
      <c r="BK34" s="55"/>
      <c r="BL34" s="35">
        <v>208.1</v>
      </c>
      <c r="BM34" s="35">
        <v>238.8</v>
      </c>
      <c r="BN34" s="35">
        <v>269.8</v>
      </c>
      <c r="BO34" s="59"/>
      <c r="BP34" s="35">
        <v>233.3</v>
      </c>
      <c r="BQ34" s="35">
        <v>263.89999999999998</v>
      </c>
      <c r="BR34" s="35">
        <v>294.8</v>
      </c>
      <c r="BS34" s="55"/>
      <c r="BT34" s="35">
        <v>195.7</v>
      </c>
      <c r="BU34" s="35">
        <v>225.3</v>
      </c>
      <c r="BV34" s="35">
        <v>255.1</v>
      </c>
      <c r="BW34" s="55"/>
      <c r="BX34" s="36">
        <v>192.7</v>
      </c>
      <c r="BY34" s="36">
        <v>222.3</v>
      </c>
      <c r="BZ34" s="36">
        <v>252.6</v>
      </c>
      <c r="CA34" s="55"/>
      <c r="CB34" s="36">
        <v>191.6</v>
      </c>
      <c r="CC34" s="36">
        <v>222.2</v>
      </c>
      <c r="CD34" s="36">
        <v>252.9</v>
      </c>
      <c r="CE34" s="55"/>
    </row>
    <row r="35" spans="6:83">
      <c r="F35" s="19">
        <v>23</v>
      </c>
      <c r="G35" s="71">
        <v>44348</v>
      </c>
      <c r="H35" s="34">
        <v>41.7</v>
      </c>
      <c r="I35" s="34">
        <v>64.099999999999994</v>
      </c>
      <c r="J35" s="35">
        <v>90.5</v>
      </c>
      <c r="K35" s="54"/>
      <c r="L35" s="35">
        <v>29.4</v>
      </c>
      <c r="M35" s="35">
        <v>43.7</v>
      </c>
      <c r="N35" s="35">
        <v>61.4</v>
      </c>
      <c r="O35" s="54"/>
      <c r="P35" s="36">
        <v>45.2</v>
      </c>
      <c r="Q35" s="35">
        <v>64.599999999999994</v>
      </c>
      <c r="R35" s="35">
        <v>86.7</v>
      </c>
      <c r="S35" s="54"/>
      <c r="T35" s="35">
        <v>42.1</v>
      </c>
      <c r="U35" s="35">
        <v>58</v>
      </c>
      <c r="V35" s="35">
        <v>76.2</v>
      </c>
      <c r="W35" s="54"/>
      <c r="X35" s="35">
        <v>35.799999999999997</v>
      </c>
      <c r="Y35" s="35">
        <v>51.1</v>
      </c>
      <c r="Z35" s="35">
        <v>69.7</v>
      </c>
      <c r="AA35" s="54"/>
      <c r="AB35" s="35">
        <v>19.5</v>
      </c>
      <c r="AC35" s="35">
        <v>31.5</v>
      </c>
      <c r="AD35" s="35">
        <v>46.2</v>
      </c>
      <c r="AE35" s="55"/>
      <c r="AF35" s="35">
        <v>22.6</v>
      </c>
      <c r="AG35" s="35">
        <v>36.6</v>
      </c>
      <c r="AH35" s="35">
        <v>54.6</v>
      </c>
      <c r="AI35" s="55"/>
      <c r="AJ35" s="36">
        <v>31</v>
      </c>
      <c r="AK35" s="36">
        <v>47.3</v>
      </c>
      <c r="AL35" s="36">
        <v>65.599999999999994</v>
      </c>
      <c r="AM35" s="55"/>
      <c r="AN35" s="35">
        <v>45.5</v>
      </c>
      <c r="AO35" s="35">
        <v>64.599999999999994</v>
      </c>
      <c r="AP35" s="35">
        <v>87.1</v>
      </c>
      <c r="AQ35" s="55"/>
      <c r="AR35" s="35">
        <v>35.799999999999997</v>
      </c>
      <c r="AS35" s="35">
        <v>54.1</v>
      </c>
      <c r="AT35" s="35">
        <v>76.099999999999994</v>
      </c>
      <c r="AU35" s="55"/>
      <c r="AV35" s="36">
        <v>40.4</v>
      </c>
      <c r="AW35" s="36">
        <v>56.5</v>
      </c>
      <c r="AX35" s="36">
        <v>75.7</v>
      </c>
      <c r="AY35" s="55"/>
      <c r="AZ35" s="35">
        <v>65.7</v>
      </c>
      <c r="BA35" s="35">
        <v>86.6</v>
      </c>
      <c r="BB35" s="35">
        <v>109.9</v>
      </c>
      <c r="BC35" s="55"/>
      <c r="BD35" s="35">
        <v>67</v>
      </c>
      <c r="BE35" s="35">
        <v>87.6</v>
      </c>
      <c r="BF35" s="35">
        <v>110.5</v>
      </c>
      <c r="BG35" s="55"/>
      <c r="BH35" s="35">
        <v>55.5</v>
      </c>
      <c r="BI35" s="35">
        <v>76</v>
      </c>
      <c r="BJ35" s="35">
        <v>99.6</v>
      </c>
      <c r="BK35" s="55"/>
      <c r="BL35" s="35">
        <v>62.3</v>
      </c>
      <c r="BM35" s="35">
        <v>83.6</v>
      </c>
      <c r="BN35" s="35">
        <v>108</v>
      </c>
      <c r="BO35" s="59"/>
      <c r="BP35" s="35">
        <v>77</v>
      </c>
      <c r="BQ35" s="35">
        <v>99.5</v>
      </c>
      <c r="BR35" s="35">
        <v>124.2</v>
      </c>
      <c r="BS35" s="55"/>
      <c r="BT35" s="35">
        <v>65.099999999999994</v>
      </c>
      <c r="BU35" s="35">
        <v>85.6</v>
      </c>
      <c r="BV35" s="35">
        <v>109.9</v>
      </c>
      <c r="BW35" s="55"/>
      <c r="BX35" s="36">
        <v>67.599999999999994</v>
      </c>
      <c r="BY35" s="36">
        <v>87.8</v>
      </c>
      <c r="BZ35" s="36">
        <v>111.1</v>
      </c>
      <c r="CA35" s="55"/>
      <c r="CB35" s="36">
        <v>74</v>
      </c>
      <c r="CC35" s="36">
        <v>98.6</v>
      </c>
      <c r="CD35" s="36">
        <v>124.7</v>
      </c>
      <c r="CE35" s="55"/>
    </row>
    <row r="36" spans="6:83">
      <c r="F36" s="19">
        <v>24</v>
      </c>
      <c r="G36" s="71">
        <v>44378</v>
      </c>
      <c r="H36" s="34">
        <v>6.3</v>
      </c>
      <c r="I36" s="34">
        <v>15.7</v>
      </c>
      <c r="J36" s="35">
        <v>28.8</v>
      </c>
      <c r="K36" s="54"/>
      <c r="L36" s="35">
        <v>7.5</v>
      </c>
      <c r="M36" s="35">
        <v>16.8</v>
      </c>
      <c r="N36" s="35">
        <v>30.1</v>
      </c>
      <c r="O36" s="54"/>
      <c r="P36" s="36">
        <v>18.5</v>
      </c>
      <c r="Q36" s="35">
        <v>32.6</v>
      </c>
      <c r="R36" s="35">
        <v>49.6</v>
      </c>
      <c r="S36" s="54"/>
      <c r="T36" s="35">
        <v>16.8</v>
      </c>
      <c r="U36" s="35">
        <v>28</v>
      </c>
      <c r="V36" s="35">
        <v>42.8</v>
      </c>
      <c r="W36" s="54"/>
      <c r="X36" s="35">
        <v>12</v>
      </c>
      <c r="Y36" s="35">
        <v>23</v>
      </c>
      <c r="Z36" s="35">
        <v>36.5</v>
      </c>
      <c r="AA36" s="54"/>
      <c r="AB36" s="35">
        <v>6.8</v>
      </c>
      <c r="AC36" s="35">
        <v>14.3</v>
      </c>
      <c r="AD36" s="35">
        <v>25.6</v>
      </c>
      <c r="AE36" s="55"/>
      <c r="AF36" s="35">
        <v>7</v>
      </c>
      <c r="AG36" s="35">
        <v>16.3</v>
      </c>
      <c r="AH36" s="35">
        <v>30.6</v>
      </c>
      <c r="AI36" s="55"/>
      <c r="AJ36" s="36">
        <v>12.1</v>
      </c>
      <c r="AK36" s="36">
        <v>23.7</v>
      </c>
      <c r="AL36" s="36">
        <v>38.9</v>
      </c>
      <c r="AM36" s="55"/>
      <c r="AN36" s="35">
        <v>20.8</v>
      </c>
      <c r="AO36" s="35">
        <v>35.299999999999997</v>
      </c>
      <c r="AP36" s="35">
        <v>53.8</v>
      </c>
      <c r="AQ36" s="55"/>
      <c r="AR36" s="35">
        <v>11.2</v>
      </c>
      <c r="AS36" s="35">
        <v>22.9</v>
      </c>
      <c r="AT36" s="35">
        <v>38.1</v>
      </c>
      <c r="AU36" s="55"/>
      <c r="AV36" s="36">
        <v>15.7</v>
      </c>
      <c r="AW36" s="36">
        <v>28.7</v>
      </c>
      <c r="AX36" s="36">
        <v>45.4</v>
      </c>
      <c r="AY36" s="55"/>
      <c r="AZ36" s="35">
        <v>28.3</v>
      </c>
      <c r="BA36" s="35">
        <v>44.7</v>
      </c>
      <c r="BB36" s="35">
        <v>64.3</v>
      </c>
      <c r="BC36" s="55"/>
      <c r="BD36" s="35">
        <v>27.5</v>
      </c>
      <c r="BE36" s="35">
        <v>43.5</v>
      </c>
      <c r="BF36" s="35">
        <v>63.1</v>
      </c>
      <c r="BG36" s="55"/>
      <c r="BH36" s="35">
        <v>20.3</v>
      </c>
      <c r="BI36" s="35">
        <v>33.200000000000003</v>
      </c>
      <c r="BJ36" s="35">
        <v>49.1</v>
      </c>
      <c r="BK36" s="55"/>
      <c r="BL36" s="35">
        <v>25.4</v>
      </c>
      <c r="BM36" s="35">
        <v>41.6</v>
      </c>
      <c r="BN36" s="35">
        <v>61.4</v>
      </c>
      <c r="BO36" s="59"/>
      <c r="BP36" s="35">
        <v>34.200000000000003</v>
      </c>
      <c r="BQ36" s="35">
        <v>54.4</v>
      </c>
      <c r="BR36" s="35">
        <v>78.3</v>
      </c>
      <c r="BS36" s="55"/>
      <c r="BT36" s="35">
        <v>31</v>
      </c>
      <c r="BU36" s="35">
        <v>47.5</v>
      </c>
      <c r="BV36" s="35">
        <v>66.3</v>
      </c>
      <c r="BW36" s="55"/>
      <c r="BX36" s="36">
        <v>31.1</v>
      </c>
      <c r="BY36" s="36">
        <v>47.9</v>
      </c>
      <c r="BZ36" s="36">
        <v>67.7</v>
      </c>
      <c r="CA36" s="55"/>
      <c r="CB36" s="36">
        <v>29</v>
      </c>
      <c r="CC36" s="36">
        <v>45.2</v>
      </c>
      <c r="CD36" s="36">
        <v>64.599999999999994</v>
      </c>
      <c r="CE36" s="55"/>
    </row>
    <row r="37" spans="6:83">
      <c r="F37" s="19">
        <v>25</v>
      </c>
      <c r="G37" s="71">
        <v>44409</v>
      </c>
      <c r="H37" s="34">
        <v>19.3</v>
      </c>
      <c r="I37" s="34">
        <v>37.200000000000003</v>
      </c>
      <c r="J37" s="35">
        <v>60.6</v>
      </c>
      <c r="K37" s="54"/>
      <c r="L37" s="35">
        <v>15.8</v>
      </c>
      <c r="M37" s="35">
        <v>27.7</v>
      </c>
      <c r="N37" s="35">
        <v>44.7</v>
      </c>
      <c r="O37" s="54"/>
      <c r="P37" s="36">
        <v>30.7</v>
      </c>
      <c r="Q37" s="35">
        <v>51.4</v>
      </c>
      <c r="R37" s="35">
        <v>75.7</v>
      </c>
      <c r="S37" s="54"/>
      <c r="T37" s="35">
        <v>28.5</v>
      </c>
      <c r="U37" s="35">
        <v>43.2</v>
      </c>
      <c r="V37" s="35">
        <v>61.9</v>
      </c>
      <c r="W37" s="54"/>
      <c r="X37" s="35">
        <v>23.1</v>
      </c>
      <c r="Y37" s="35">
        <v>39.5</v>
      </c>
      <c r="Z37" s="35">
        <v>59.8</v>
      </c>
      <c r="AA37" s="54"/>
      <c r="AB37" s="35">
        <v>13.7</v>
      </c>
      <c r="AC37" s="35">
        <v>25.6</v>
      </c>
      <c r="AD37" s="35">
        <v>42</v>
      </c>
      <c r="AE37" s="55"/>
      <c r="AF37" s="35">
        <v>12.2</v>
      </c>
      <c r="AG37" s="35">
        <v>21.3</v>
      </c>
      <c r="AH37" s="35">
        <v>36.299999999999997</v>
      </c>
      <c r="AI37" s="55"/>
      <c r="AJ37" s="36">
        <v>17.399999999999999</v>
      </c>
      <c r="AK37" s="36">
        <v>30.3</v>
      </c>
      <c r="AL37" s="36">
        <v>48.7</v>
      </c>
      <c r="AM37" s="55"/>
      <c r="AN37" s="35">
        <v>30.7</v>
      </c>
      <c r="AO37" s="35">
        <v>50.4</v>
      </c>
      <c r="AP37" s="35">
        <v>74.2</v>
      </c>
      <c r="AQ37" s="55"/>
      <c r="AR37" s="35">
        <v>16</v>
      </c>
      <c r="AS37" s="35">
        <v>30.5</v>
      </c>
      <c r="AT37" s="35">
        <v>50.7</v>
      </c>
      <c r="AU37" s="55"/>
      <c r="AV37" s="36">
        <v>25</v>
      </c>
      <c r="AW37" s="36">
        <v>42.9</v>
      </c>
      <c r="AX37" s="36">
        <v>65.599999999999994</v>
      </c>
      <c r="AY37" s="55"/>
      <c r="AZ37" s="35">
        <v>44.4</v>
      </c>
      <c r="BA37" s="35">
        <v>66.599999999999994</v>
      </c>
      <c r="BB37" s="35">
        <v>92</v>
      </c>
      <c r="BC37" s="55"/>
      <c r="BD37" s="35">
        <v>49.5</v>
      </c>
      <c r="BE37" s="35">
        <v>70</v>
      </c>
      <c r="BF37" s="35">
        <v>93.5</v>
      </c>
      <c r="BG37" s="55"/>
      <c r="BH37" s="35">
        <v>42.5</v>
      </c>
      <c r="BI37" s="35">
        <v>60.7</v>
      </c>
      <c r="BJ37" s="35">
        <v>82.6</v>
      </c>
      <c r="BK37" s="55"/>
      <c r="BL37" s="35">
        <v>45.9</v>
      </c>
      <c r="BM37" s="35">
        <v>66.2</v>
      </c>
      <c r="BN37" s="35">
        <v>90.2</v>
      </c>
      <c r="BO37" s="59"/>
      <c r="BP37" s="35">
        <v>53.6</v>
      </c>
      <c r="BQ37" s="35">
        <v>76.8</v>
      </c>
      <c r="BR37" s="35">
        <v>103.5</v>
      </c>
      <c r="BS37" s="55"/>
      <c r="BT37" s="35">
        <v>40.1</v>
      </c>
      <c r="BU37" s="35">
        <v>61.4</v>
      </c>
      <c r="BV37" s="35">
        <v>86.7</v>
      </c>
      <c r="BW37" s="55"/>
      <c r="BX37" s="36">
        <v>42.6</v>
      </c>
      <c r="BY37" s="36">
        <v>64.099999999999994</v>
      </c>
      <c r="BZ37" s="36">
        <v>88.4</v>
      </c>
      <c r="CA37" s="55"/>
      <c r="CB37" s="36">
        <v>35.200000000000003</v>
      </c>
      <c r="CC37" s="36">
        <v>56</v>
      </c>
      <c r="CD37" s="36">
        <v>80.7</v>
      </c>
      <c r="CE37" s="55"/>
    </row>
    <row r="38" spans="6:83">
      <c r="F38" s="19">
        <v>26</v>
      </c>
      <c r="G38" s="71">
        <v>44440</v>
      </c>
      <c r="H38" s="34">
        <v>26.6</v>
      </c>
      <c r="I38" s="34">
        <v>43.9</v>
      </c>
      <c r="J38" s="35">
        <v>66.599999999999994</v>
      </c>
      <c r="K38" s="54"/>
      <c r="L38" s="35">
        <v>40.700000000000003</v>
      </c>
      <c r="M38" s="35">
        <v>55.8</v>
      </c>
      <c r="N38" s="35">
        <v>73.8</v>
      </c>
      <c r="O38" s="54"/>
      <c r="P38" s="36">
        <v>36.4</v>
      </c>
      <c r="Q38" s="35">
        <v>54.4</v>
      </c>
      <c r="R38" s="35">
        <v>75.8</v>
      </c>
      <c r="S38" s="54"/>
      <c r="T38" s="35">
        <v>45.3</v>
      </c>
      <c r="U38" s="35">
        <v>60.5</v>
      </c>
      <c r="V38" s="35">
        <v>77.900000000000006</v>
      </c>
      <c r="W38" s="54"/>
      <c r="X38" s="35">
        <v>41.3</v>
      </c>
      <c r="Y38" s="35">
        <v>57.5</v>
      </c>
      <c r="Z38" s="35">
        <v>77</v>
      </c>
      <c r="AA38" s="54"/>
      <c r="AB38" s="35">
        <v>23.1</v>
      </c>
      <c r="AC38" s="35">
        <v>34.9</v>
      </c>
      <c r="AD38" s="35">
        <v>51</v>
      </c>
      <c r="AE38" s="55"/>
      <c r="AF38" s="35">
        <v>22.5</v>
      </c>
      <c r="AG38" s="35">
        <v>32.5</v>
      </c>
      <c r="AH38" s="35">
        <v>46.1</v>
      </c>
      <c r="AI38" s="55"/>
      <c r="AJ38" s="36">
        <v>27.3</v>
      </c>
      <c r="AK38" s="36">
        <v>40.299999999999997</v>
      </c>
      <c r="AL38" s="36">
        <v>57.8</v>
      </c>
      <c r="AM38" s="55"/>
      <c r="AN38" s="35">
        <v>37.9</v>
      </c>
      <c r="AO38" s="35">
        <v>55.4</v>
      </c>
      <c r="AP38" s="35">
        <v>77.2</v>
      </c>
      <c r="AQ38" s="55"/>
      <c r="AR38" s="35">
        <v>25.3</v>
      </c>
      <c r="AS38" s="35">
        <v>38.6</v>
      </c>
      <c r="AT38" s="35">
        <v>57</v>
      </c>
      <c r="AU38" s="55"/>
      <c r="AV38" s="36">
        <v>39.299999999999997</v>
      </c>
      <c r="AW38" s="36">
        <v>56</v>
      </c>
      <c r="AX38" s="36">
        <v>75.8</v>
      </c>
      <c r="AY38" s="55"/>
      <c r="AZ38" s="35">
        <v>56.5</v>
      </c>
      <c r="BA38" s="35">
        <v>77.400000000000006</v>
      </c>
      <c r="BB38" s="35">
        <v>101.1</v>
      </c>
      <c r="BC38" s="55"/>
      <c r="BD38" s="35">
        <v>57.4</v>
      </c>
      <c r="BE38" s="35">
        <v>78.400000000000006</v>
      </c>
      <c r="BF38" s="35">
        <v>102.2</v>
      </c>
      <c r="BG38" s="55"/>
      <c r="BH38" s="35">
        <v>56.8</v>
      </c>
      <c r="BI38" s="35">
        <v>77.5</v>
      </c>
      <c r="BJ38" s="35">
        <v>101.6</v>
      </c>
      <c r="BK38" s="55"/>
      <c r="BL38" s="35">
        <v>62.2</v>
      </c>
      <c r="BM38" s="35">
        <v>82.7</v>
      </c>
      <c r="BN38" s="35">
        <v>106.6</v>
      </c>
      <c r="BO38" s="59"/>
      <c r="BP38" s="35">
        <v>67.400000000000006</v>
      </c>
      <c r="BQ38" s="35">
        <v>90.2</v>
      </c>
      <c r="BR38" s="35">
        <v>115.6</v>
      </c>
      <c r="BS38" s="55"/>
      <c r="BT38" s="35">
        <v>56.7</v>
      </c>
      <c r="BU38" s="35">
        <v>77.2</v>
      </c>
      <c r="BV38" s="35">
        <v>101.3</v>
      </c>
      <c r="BW38" s="55"/>
      <c r="BX38" s="36">
        <v>45.8</v>
      </c>
      <c r="BY38" s="36">
        <v>64.900000000000006</v>
      </c>
      <c r="BZ38" s="36">
        <v>87.9</v>
      </c>
      <c r="CA38" s="55"/>
      <c r="CB38" s="36">
        <v>48.3</v>
      </c>
      <c r="CC38" s="36">
        <v>70.7</v>
      </c>
      <c r="CD38" s="36">
        <v>96.8</v>
      </c>
      <c r="CE38" s="55"/>
    </row>
    <row r="39" spans="6:83">
      <c r="F39" s="19">
        <v>27</v>
      </c>
      <c r="G39" s="71">
        <v>44470</v>
      </c>
      <c r="H39" s="34">
        <v>81.3</v>
      </c>
      <c r="I39" s="34">
        <v>110.3</v>
      </c>
      <c r="J39" s="35">
        <v>140.80000000000001</v>
      </c>
      <c r="K39" s="54"/>
      <c r="L39" s="35">
        <v>84.9</v>
      </c>
      <c r="M39" s="35">
        <v>110.2</v>
      </c>
      <c r="N39" s="35">
        <v>138.19999999999999</v>
      </c>
      <c r="O39" s="54"/>
      <c r="P39" s="36">
        <v>103.4</v>
      </c>
      <c r="Q39" s="35">
        <v>133</v>
      </c>
      <c r="R39" s="35">
        <v>164</v>
      </c>
      <c r="S39" s="54"/>
      <c r="T39" s="35">
        <v>107.4</v>
      </c>
      <c r="U39" s="35">
        <v>135.19999999999999</v>
      </c>
      <c r="V39" s="35">
        <v>165.2</v>
      </c>
      <c r="W39" s="54"/>
      <c r="X39" s="35">
        <v>109.6</v>
      </c>
      <c r="Y39" s="35">
        <v>138.69999999999999</v>
      </c>
      <c r="Z39" s="35">
        <v>169</v>
      </c>
      <c r="AA39" s="54"/>
      <c r="AB39" s="35">
        <v>88.3</v>
      </c>
      <c r="AC39" s="35">
        <v>114.7</v>
      </c>
      <c r="AD39" s="35">
        <v>143.69999999999999</v>
      </c>
      <c r="AE39" s="55"/>
      <c r="AF39" s="35">
        <v>72.8</v>
      </c>
      <c r="AG39" s="35">
        <v>98.1</v>
      </c>
      <c r="AH39" s="35">
        <v>126.8</v>
      </c>
      <c r="AI39" s="55"/>
      <c r="AJ39" s="36">
        <v>106.9</v>
      </c>
      <c r="AK39" s="36">
        <v>134.4</v>
      </c>
      <c r="AL39" s="36">
        <v>163.80000000000001</v>
      </c>
      <c r="AM39" s="55"/>
      <c r="AN39" s="35">
        <v>99.2</v>
      </c>
      <c r="AO39" s="35">
        <v>127.3</v>
      </c>
      <c r="AP39" s="35">
        <v>157.19999999999999</v>
      </c>
      <c r="AQ39" s="55"/>
      <c r="AR39" s="35">
        <v>73.400000000000006</v>
      </c>
      <c r="AS39" s="35">
        <v>101.1</v>
      </c>
      <c r="AT39" s="35">
        <v>131</v>
      </c>
      <c r="AU39" s="55"/>
      <c r="AV39" s="36">
        <v>111</v>
      </c>
      <c r="AW39" s="36">
        <v>139.69999999999999</v>
      </c>
      <c r="AX39" s="36">
        <v>169.7</v>
      </c>
      <c r="AY39" s="55"/>
      <c r="AZ39" s="35">
        <v>145.80000000000001</v>
      </c>
      <c r="BA39" s="35">
        <v>175.5</v>
      </c>
      <c r="BB39" s="35">
        <v>205.8</v>
      </c>
      <c r="BC39" s="55"/>
      <c r="BD39" s="35">
        <v>140.9</v>
      </c>
      <c r="BE39" s="35">
        <v>169.4</v>
      </c>
      <c r="BF39" s="35">
        <v>199.3</v>
      </c>
      <c r="BG39" s="55"/>
      <c r="BH39" s="35">
        <v>144.5</v>
      </c>
      <c r="BI39" s="35">
        <v>174.3</v>
      </c>
      <c r="BJ39" s="35">
        <v>204.8</v>
      </c>
      <c r="BK39" s="55"/>
      <c r="BL39" s="35">
        <v>147.1</v>
      </c>
      <c r="BM39" s="35">
        <v>176</v>
      </c>
      <c r="BN39" s="35">
        <v>206.3</v>
      </c>
      <c r="BO39" s="59"/>
      <c r="BP39" s="35">
        <v>163.30000000000001</v>
      </c>
      <c r="BQ39" s="35">
        <v>193.3</v>
      </c>
      <c r="BR39" s="35">
        <v>223.9</v>
      </c>
      <c r="BS39" s="55"/>
      <c r="BT39" s="35">
        <v>131.6</v>
      </c>
      <c r="BU39" s="35">
        <v>160.69999999999999</v>
      </c>
      <c r="BV39" s="35">
        <v>190.9</v>
      </c>
      <c r="BW39" s="55"/>
      <c r="BX39" s="36">
        <v>119.8</v>
      </c>
      <c r="BY39" s="36">
        <v>147.5</v>
      </c>
      <c r="BZ39" s="36">
        <v>176.8</v>
      </c>
      <c r="CA39" s="55"/>
      <c r="CB39" s="36">
        <v>126.6</v>
      </c>
      <c r="CC39" s="36">
        <v>157.1</v>
      </c>
      <c r="CD39" s="36">
        <v>188.2</v>
      </c>
      <c r="CE39" s="55"/>
    </row>
    <row r="40" spans="6:83">
      <c r="F40" s="19">
        <v>28</v>
      </c>
      <c r="G40" s="71">
        <v>44501</v>
      </c>
      <c r="H40" s="34">
        <v>179.3</v>
      </c>
      <c r="I40" s="34">
        <v>209.3</v>
      </c>
      <c r="J40" s="35">
        <v>239.3</v>
      </c>
      <c r="K40" s="54"/>
      <c r="L40" s="35">
        <v>207.1</v>
      </c>
      <c r="M40" s="35">
        <v>237.1</v>
      </c>
      <c r="N40" s="35">
        <v>267.10000000000002</v>
      </c>
      <c r="O40" s="54"/>
      <c r="P40" s="36">
        <v>232.9</v>
      </c>
      <c r="Q40" s="35">
        <v>262.89999999999998</v>
      </c>
      <c r="R40" s="35">
        <v>292.89999999999998</v>
      </c>
      <c r="S40" s="54"/>
      <c r="T40" s="35">
        <v>257.10000000000002</v>
      </c>
      <c r="U40" s="35">
        <v>287.10000000000002</v>
      </c>
      <c r="V40" s="35">
        <v>317.10000000000002</v>
      </c>
      <c r="W40" s="54"/>
      <c r="X40" s="35">
        <v>235.4</v>
      </c>
      <c r="Y40" s="35">
        <v>265.39999999999998</v>
      </c>
      <c r="Z40" s="35">
        <v>295.39999999999998</v>
      </c>
      <c r="AA40" s="54"/>
      <c r="AB40" s="35">
        <v>222.5</v>
      </c>
      <c r="AC40" s="35">
        <v>252.5</v>
      </c>
      <c r="AD40" s="35">
        <v>282.5</v>
      </c>
      <c r="AE40" s="55"/>
      <c r="AF40" s="35">
        <v>204.4</v>
      </c>
      <c r="AG40" s="35">
        <v>234.4</v>
      </c>
      <c r="AH40" s="35">
        <v>264.39999999999998</v>
      </c>
      <c r="AI40" s="55"/>
      <c r="AJ40" s="36">
        <v>219.3</v>
      </c>
      <c r="AK40" s="36">
        <v>249.3</v>
      </c>
      <c r="AL40" s="36">
        <v>279.3</v>
      </c>
      <c r="AM40" s="55"/>
      <c r="AN40" s="35">
        <v>192.8</v>
      </c>
      <c r="AO40" s="35">
        <v>222.7</v>
      </c>
      <c r="AP40" s="35">
        <v>252.7</v>
      </c>
      <c r="AQ40" s="55"/>
      <c r="AR40" s="35">
        <v>204.8</v>
      </c>
      <c r="AS40" s="35">
        <v>234.8</v>
      </c>
      <c r="AT40" s="35">
        <v>264.8</v>
      </c>
      <c r="AU40" s="55"/>
      <c r="AV40" s="36">
        <v>239.3</v>
      </c>
      <c r="AW40" s="36">
        <v>269.3</v>
      </c>
      <c r="AX40" s="36">
        <v>299.3</v>
      </c>
      <c r="AY40" s="55"/>
      <c r="AZ40" s="35">
        <v>257.7</v>
      </c>
      <c r="BA40" s="35">
        <v>287.7</v>
      </c>
      <c r="BB40" s="35">
        <v>317.7</v>
      </c>
      <c r="BC40" s="55"/>
      <c r="BD40" s="35">
        <v>241.1</v>
      </c>
      <c r="BE40" s="35">
        <v>271.10000000000002</v>
      </c>
      <c r="BF40" s="35">
        <v>301.10000000000002</v>
      </c>
      <c r="BG40" s="55"/>
      <c r="BH40" s="35">
        <v>236.9</v>
      </c>
      <c r="BI40" s="35">
        <v>266.89999999999998</v>
      </c>
      <c r="BJ40" s="35">
        <v>296.89999999999998</v>
      </c>
      <c r="BK40" s="55"/>
      <c r="BL40" s="35">
        <v>239.6</v>
      </c>
      <c r="BM40" s="35">
        <v>269.60000000000002</v>
      </c>
      <c r="BN40" s="35">
        <v>299.60000000000002</v>
      </c>
      <c r="BO40" s="59"/>
      <c r="BP40" s="35">
        <v>242.8</v>
      </c>
      <c r="BQ40" s="35">
        <v>272.60000000000002</v>
      </c>
      <c r="BR40" s="35">
        <v>302.60000000000002</v>
      </c>
      <c r="BS40" s="55"/>
      <c r="BT40" s="35">
        <v>222.5</v>
      </c>
      <c r="BU40" s="35">
        <v>252.5</v>
      </c>
      <c r="BV40" s="35">
        <v>282.5</v>
      </c>
      <c r="BW40" s="55"/>
      <c r="BX40" s="36">
        <v>229.2</v>
      </c>
      <c r="BY40" s="36">
        <v>259.2</v>
      </c>
      <c r="BZ40" s="36">
        <v>289.2</v>
      </c>
      <c r="CA40" s="55"/>
      <c r="CB40" s="36">
        <v>220.4</v>
      </c>
      <c r="CC40" s="36">
        <v>250.4</v>
      </c>
      <c r="CD40" s="36">
        <v>280.39999999999998</v>
      </c>
      <c r="CE40" s="55"/>
    </row>
    <row r="41" spans="6:83">
      <c r="F41" s="19">
        <v>29</v>
      </c>
      <c r="G41" s="71">
        <v>44531</v>
      </c>
      <c r="H41" s="34">
        <v>192.8</v>
      </c>
      <c r="I41" s="34">
        <v>223.8</v>
      </c>
      <c r="J41" s="35">
        <v>254.8</v>
      </c>
      <c r="K41" s="54"/>
      <c r="L41" s="35">
        <v>207</v>
      </c>
      <c r="M41" s="35">
        <v>238</v>
      </c>
      <c r="N41" s="35">
        <v>269</v>
      </c>
      <c r="O41" s="54"/>
      <c r="P41" s="36">
        <v>256.2</v>
      </c>
      <c r="Q41" s="35">
        <v>287.2</v>
      </c>
      <c r="R41" s="35">
        <v>318.2</v>
      </c>
      <c r="S41" s="54"/>
      <c r="T41" s="35">
        <v>255.3</v>
      </c>
      <c r="U41" s="35">
        <v>286.3</v>
      </c>
      <c r="V41" s="35">
        <v>317.3</v>
      </c>
      <c r="W41" s="54"/>
      <c r="X41" s="35">
        <v>270</v>
      </c>
      <c r="Y41" s="35">
        <v>301</v>
      </c>
      <c r="Z41" s="35">
        <v>332</v>
      </c>
      <c r="AA41" s="54"/>
      <c r="AB41" s="35">
        <v>238</v>
      </c>
      <c r="AC41" s="35">
        <v>269</v>
      </c>
      <c r="AD41" s="35">
        <v>300</v>
      </c>
      <c r="AE41" s="55"/>
      <c r="AF41" s="35">
        <v>230.8</v>
      </c>
      <c r="AG41" s="35">
        <v>261.8</v>
      </c>
      <c r="AH41" s="35">
        <v>292.8</v>
      </c>
      <c r="AI41" s="55"/>
      <c r="AJ41" s="36">
        <v>273.5</v>
      </c>
      <c r="AK41" s="36">
        <v>304.5</v>
      </c>
      <c r="AL41" s="36">
        <v>335.5</v>
      </c>
      <c r="AM41" s="55"/>
      <c r="AN41" s="35">
        <v>257.10000000000002</v>
      </c>
      <c r="AO41" s="35">
        <v>288.10000000000002</v>
      </c>
      <c r="AP41" s="35">
        <v>319.10000000000002</v>
      </c>
      <c r="AQ41" s="55"/>
      <c r="AR41" s="35">
        <v>231.5</v>
      </c>
      <c r="AS41" s="35">
        <v>262.5</v>
      </c>
      <c r="AT41" s="35">
        <v>293.5</v>
      </c>
      <c r="AU41" s="55"/>
      <c r="AV41" s="36">
        <v>287.5</v>
      </c>
      <c r="AW41" s="36">
        <v>318.5</v>
      </c>
      <c r="AX41" s="36">
        <v>349.5</v>
      </c>
      <c r="AY41" s="55"/>
      <c r="AZ41" s="35">
        <v>324.2</v>
      </c>
      <c r="BA41" s="35">
        <v>355.2</v>
      </c>
      <c r="BB41" s="35">
        <v>386.2</v>
      </c>
      <c r="BC41" s="55"/>
      <c r="BD41" s="35">
        <v>324.8</v>
      </c>
      <c r="BE41" s="35">
        <v>355.8</v>
      </c>
      <c r="BF41" s="35">
        <v>386.8</v>
      </c>
      <c r="BG41" s="55"/>
      <c r="BH41" s="35">
        <v>316.89999999999998</v>
      </c>
      <c r="BI41" s="35">
        <v>347.9</v>
      </c>
      <c r="BJ41" s="35">
        <v>378.9</v>
      </c>
      <c r="BK41" s="55"/>
      <c r="BL41" s="35">
        <v>326.10000000000002</v>
      </c>
      <c r="BM41" s="35">
        <v>357.1</v>
      </c>
      <c r="BN41" s="35">
        <v>388.1</v>
      </c>
      <c r="BO41" s="59"/>
      <c r="BP41" s="35">
        <v>348.9</v>
      </c>
      <c r="BQ41" s="35">
        <v>379.9</v>
      </c>
      <c r="BR41" s="35">
        <v>410.9</v>
      </c>
      <c r="BS41" s="55"/>
      <c r="BT41" s="35">
        <v>275.5</v>
      </c>
      <c r="BU41" s="35">
        <v>306.5</v>
      </c>
      <c r="BV41" s="35">
        <v>337.5</v>
      </c>
      <c r="BW41" s="55"/>
      <c r="BX41" s="36">
        <v>262.3</v>
      </c>
      <c r="BY41" s="36">
        <v>293.3</v>
      </c>
      <c r="BZ41" s="36">
        <v>324.3</v>
      </c>
      <c r="CA41" s="55"/>
      <c r="CB41" s="36">
        <v>234.1</v>
      </c>
      <c r="CC41" s="36">
        <v>265.10000000000002</v>
      </c>
      <c r="CD41" s="36">
        <v>296.10000000000002</v>
      </c>
      <c r="CE41" s="55"/>
    </row>
    <row r="42" spans="6:83">
      <c r="F42" s="19">
        <v>30</v>
      </c>
      <c r="G42" s="71">
        <v>44562</v>
      </c>
      <c r="H42" s="34">
        <v>239</v>
      </c>
      <c r="I42" s="34">
        <v>270</v>
      </c>
      <c r="J42" s="35">
        <v>301</v>
      </c>
      <c r="K42" s="54"/>
      <c r="L42" s="35">
        <v>294.5</v>
      </c>
      <c r="M42" s="35">
        <v>325.5</v>
      </c>
      <c r="N42" s="35">
        <v>356.5</v>
      </c>
      <c r="O42" s="54"/>
      <c r="P42" s="36">
        <v>319</v>
      </c>
      <c r="Q42" s="35">
        <v>350</v>
      </c>
      <c r="R42" s="35">
        <v>381</v>
      </c>
      <c r="S42" s="54"/>
      <c r="T42" s="35">
        <v>353.1</v>
      </c>
      <c r="U42" s="35">
        <v>384.1</v>
      </c>
      <c r="V42" s="35">
        <v>415.1</v>
      </c>
      <c r="W42" s="54"/>
      <c r="X42" s="35">
        <v>335.8</v>
      </c>
      <c r="Y42" s="35">
        <v>366.8</v>
      </c>
      <c r="Z42" s="35">
        <v>397.8</v>
      </c>
      <c r="AA42" s="54"/>
      <c r="AB42" s="35">
        <v>310.39999999999998</v>
      </c>
      <c r="AC42" s="35">
        <v>341.4</v>
      </c>
      <c r="AD42" s="35">
        <v>372.4</v>
      </c>
      <c r="AE42" s="55"/>
      <c r="AF42" s="35">
        <v>314</v>
      </c>
      <c r="AG42" s="35">
        <v>345</v>
      </c>
      <c r="AH42" s="35">
        <v>376</v>
      </c>
      <c r="AI42" s="55"/>
      <c r="AJ42" s="36">
        <v>324.8</v>
      </c>
      <c r="AK42" s="36">
        <v>355.8</v>
      </c>
      <c r="AL42" s="36">
        <v>386.8</v>
      </c>
      <c r="AM42" s="55"/>
      <c r="AN42" s="35">
        <v>279.2</v>
      </c>
      <c r="AO42" s="35">
        <v>310.2</v>
      </c>
      <c r="AP42" s="35">
        <v>341.2</v>
      </c>
      <c r="AQ42" s="55"/>
      <c r="AR42" s="35">
        <v>293.2</v>
      </c>
      <c r="AS42" s="35">
        <v>324.2</v>
      </c>
      <c r="AT42" s="35">
        <v>355.2</v>
      </c>
      <c r="AU42" s="55"/>
      <c r="AV42" s="36">
        <v>331.2</v>
      </c>
      <c r="AW42" s="36">
        <v>362.2</v>
      </c>
      <c r="AX42" s="36">
        <v>393.2</v>
      </c>
      <c r="AY42" s="55"/>
      <c r="AZ42" s="35">
        <v>342.2</v>
      </c>
      <c r="BA42" s="35">
        <v>373.2</v>
      </c>
      <c r="BB42" s="35">
        <v>404.2</v>
      </c>
      <c r="BC42" s="55"/>
      <c r="BD42" s="35">
        <v>324.39999999999998</v>
      </c>
      <c r="BE42" s="35">
        <v>355.4</v>
      </c>
      <c r="BF42" s="35">
        <v>386.4</v>
      </c>
      <c r="BG42" s="55"/>
      <c r="BH42" s="35">
        <v>294.2</v>
      </c>
      <c r="BI42" s="35">
        <v>325.2</v>
      </c>
      <c r="BJ42" s="35">
        <v>356.2</v>
      </c>
      <c r="BK42" s="55"/>
      <c r="BL42" s="35">
        <v>301.7</v>
      </c>
      <c r="BM42" s="35">
        <v>332.7</v>
      </c>
      <c r="BN42" s="35">
        <v>363.7</v>
      </c>
      <c r="BO42" s="59"/>
      <c r="BP42" s="35">
        <v>323.89999999999998</v>
      </c>
      <c r="BQ42" s="35">
        <v>354.9</v>
      </c>
      <c r="BR42" s="35">
        <v>385.9</v>
      </c>
      <c r="BS42" s="55"/>
      <c r="BT42" s="35">
        <v>306.7</v>
      </c>
      <c r="BU42" s="35">
        <v>337.7</v>
      </c>
      <c r="BV42" s="35">
        <v>368.7</v>
      </c>
      <c r="BW42" s="55"/>
      <c r="BX42" s="36">
        <v>299.39999999999998</v>
      </c>
      <c r="BY42" s="36">
        <v>330.4</v>
      </c>
      <c r="BZ42" s="36">
        <v>361.4</v>
      </c>
      <c r="CA42" s="55"/>
      <c r="CB42" s="36">
        <v>270.8</v>
      </c>
      <c r="CC42" s="36">
        <v>301.8</v>
      </c>
      <c r="CD42" s="36">
        <v>332.8</v>
      </c>
      <c r="CE42" s="55"/>
    </row>
    <row r="43" spans="6:83">
      <c r="F43" s="19">
        <v>31</v>
      </c>
      <c r="G43" s="71">
        <v>44593</v>
      </c>
      <c r="H43" s="34">
        <v>181.3</v>
      </c>
      <c r="I43" s="34">
        <v>209.3</v>
      </c>
      <c r="J43" s="35">
        <v>237.3</v>
      </c>
      <c r="K43" s="54"/>
      <c r="L43" s="35">
        <v>199.1</v>
      </c>
      <c r="M43" s="35">
        <v>227.1</v>
      </c>
      <c r="N43" s="35">
        <v>255.1</v>
      </c>
      <c r="O43" s="54"/>
      <c r="P43" s="36">
        <v>239.2</v>
      </c>
      <c r="Q43" s="35">
        <v>267.2</v>
      </c>
      <c r="R43" s="35">
        <v>295.2</v>
      </c>
      <c r="S43" s="54"/>
      <c r="T43" s="35">
        <v>227.2</v>
      </c>
      <c r="U43" s="35">
        <v>255.2</v>
      </c>
      <c r="V43" s="35">
        <v>283.2</v>
      </c>
      <c r="W43" s="54"/>
      <c r="X43" s="35">
        <v>230.6</v>
      </c>
      <c r="Y43" s="35">
        <v>258.60000000000002</v>
      </c>
      <c r="Z43" s="35">
        <v>286.60000000000002</v>
      </c>
      <c r="AA43" s="54"/>
      <c r="AB43" s="35">
        <v>212.7</v>
      </c>
      <c r="AC43" s="35">
        <v>240.7</v>
      </c>
      <c r="AD43" s="35">
        <v>268.7</v>
      </c>
      <c r="AE43" s="55"/>
      <c r="AF43" s="35">
        <v>211.3</v>
      </c>
      <c r="AG43" s="35">
        <v>239.3</v>
      </c>
      <c r="AH43" s="35">
        <v>267.3</v>
      </c>
      <c r="AI43" s="55"/>
      <c r="AJ43" s="36">
        <v>236.4</v>
      </c>
      <c r="AK43" s="36">
        <v>264.39999999999998</v>
      </c>
      <c r="AL43" s="36">
        <v>292.39999999999998</v>
      </c>
      <c r="AM43" s="55"/>
      <c r="AN43" s="35">
        <v>220.6</v>
      </c>
      <c r="AO43" s="35">
        <v>248.6</v>
      </c>
      <c r="AP43" s="35">
        <v>276.60000000000002</v>
      </c>
      <c r="AQ43" s="55"/>
      <c r="AR43" s="35">
        <v>211.7</v>
      </c>
      <c r="AS43" s="35">
        <v>239.7</v>
      </c>
      <c r="AT43" s="35">
        <v>267.7</v>
      </c>
      <c r="AU43" s="55"/>
      <c r="AV43" s="36">
        <v>244.5</v>
      </c>
      <c r="AW43" s="36">
        <v>272.5</v>
      </c>
      <c r="AX43" s="36">
        <v>300.5</v>
      </c>
      <c r="AY43" s="55"/>
      <c r="AZ43" s="35">
        <v>282.8</v>
      </c>
      <c r="BA43" s="35">
        <v>310.8</v>
      </c>
      <c r="BB43" s="35">
        <v>338.8</v>
      </c>
      <c r="BC43" s="55"/>
      <c r="BD43" s="35">
        <v>266.89999999999998</v>
      </c>
      <c r="BE43" s="35">
        <v>294.89999999999998</v>
      </c>
      <c r="BF43" s="35">
        <v>322.89999999999998</v>
      </c>
      <c r="BG43" s="55"/>
      <c r="BH43" s="35">
        <v>271.60000000000002</v>
      </c>
      <c r="BI43" s="35">
        <v>299.60000000000002</v>
      </c>
      <c r="BJ43" s="35">
        <v>327.60000000000002</v>
      </c>
      <c r="BK43" s="55"/>
      <c r="BL43" s="35">
        <v>275.60000000000002</v>
      </c>
      <c r="BM43" s="35">
        <v>303.60000000000002</v>
      </c>
      <c r="BN43" s="35">
        <v>331.6</v>
      </c>
      <c r="BO43" s="59"/>
      <c r="BP43" s="35">
        <v>302.3</v>
      </c>
      <c r="BQ43" s="35">
        <v>330.3</v>
      </c>
      <c r="BR43" s="35">
        <v>358.3</v>
      </c>
      <c r="BS43" s="55"/>
      <c r="BT43" s="35">
        <v>268.89999999999998</v>
      </c>
      <c r="BU43" s="35">
        <v>296.89999999999998</v>
      </c>
      <c r="BV43" s="35">
        <v>324.89999999999998</v>
      </c>
      <c r="BW43" s="55"/>
      <c r="BX43" s="36">
        <v>241.2</v>
      </c>
      <c r="BY43" s="36">
        <v>269.2</v>
      </c>
      <c r="BZ43" s="36">
        <v>297.2</v>
      </c>
      <c r="CA43" s="55"/>
      <c r="CB43" s="36">
        <v>229.1</v>
      </c>
      <c r="CC43" s="36">
        <v>257.10000000000002</v>
      </c>
      <c r="CD43" s="36">
        <v>285.10000000000002</v>
      </c>
      <c r="CE43" s="55"/>
    </row>
    <row r="44" spans="6:83">
      <c r="F44" s="19">
        <v>32</v>
      </c>
      <c r="G44" s="71">
        <v>44621</v>
      </c>
      <c r="H44" s="34">
        <v>191.7</v>
      </c>
      <c r="I44" s="34">
        <v>221.6</v>
      </c>
      <c r="J44" s="35">
        <v>252.3</v>
      </c>
      <c r="K44" s="54"/>
      <c r="L44" s="35">
        <v>217.7</v>
      </c>
      <c r="M44" s="35">
        <v>247.7</v>
      </c>
      <c r="N44" s="35">
        <v>278.10000000000002</v>
      </c>
      <c r="O44" s="54"/>
      <c r="P44" s="36">
        <v>242</v>
      </c>
      <c r="Q44" s="35">
        <v>272.39999999999998</v>
      </c>
      <c r="R44" s="35">
        <v>303.2</v>
      </c>
      <c r="S44" s="54"/>
      <c r="T44" s="35">
        <v>243.6</v>
      </c>
      <c r="U44" s="35">
        <v>273.3</v>
      </c>
      <c r="V44" s="35">
        <v>303.60000000000002</v>
      </c>
      <c r="W44" s="54"/>
      <c r="X44" s="35">
        <v>255.7</v>
      </c>
      <c r="Y44" s="35">
        <v>285.60000000000002</v>
      </c>
      <c r="Z44" s="35">
        <v>315.8</v>
      </c>
      <c r="AA44" s="54"/>
      <c r="AB44" s="35">
        <v>210.4</v>
      </c>
      <c r="AC44" s="35">
        <v>240</v>
      </c>
      <c r="AD44" s="35">
        <v>269.8</v>
      </c>
      <c r="AE44" s="55"/>
      <c r="AF44" s="35">
        <v>217.4</v>
      </c>
      <c r="AG44" s="35">
        <v>247.9</v>
      </c>
      <c r="AH44" s="35">
        <v>278.8</v>
      </c>
      <c r="AI44" s="55"/>
      <c r="AJ44" s="36">
        <v>246.1</v>
      </c>
      <c r="AK44" s="36">
        <v>276.39999999999998</v>
      </c>
      <c r="AL44" s="36">
        <v>307.10000000000002</v>
      </c>
      <c r="AM44" s="55"/>
      <c r="AN44" s="35">
        <v>233.8</v>
      </c>
      <c r="AO44" s="35">
        <v>263.8</v>
      </c>
      <c r="AP44" s="35">
        <v>294.39999999999998</v>
      </c>
      <c r="AQ44" s="55"/>
      <c r="AR44" s="35">
        <v>219.8</v>
      </c>
      <c r="AS44" s="35">
        <v>250.1</v>
      </c>
      <c r="AT44" s="35">
        <v>280.8</v>
      </c>
      <c r="AU44" s="55"/>
      <c r="AV44" s="36">
        <v>232.4</v>
      </c>
      <c r="AW44" s="36">
        <v>261.89999999999998</v>
      </c>
      <c r="AX44" s="36">
        <v>291.8</v>
      </c>
      <c r="AY44" s="55"/>
      <c r="AZ44" s="35">
        <v>273.7</v>
      </c>
      <c r="BA44" s="35">
        <v>304.3</v>
      </c>
      <c r="BB44" s="35">
        <v>335.2</v>
      </c>
      <c r="BC44" s="55"/>
      <c r="BD44" s="35">
        <v>276.8</v>
      </c>
      <c r="BE44" s="35">
        <v>307.2</v>
      </c>
      <c r="BF44" s="35">
        <v>337.8</v>
      </c>
      <c r="BG44" s="55"/>
      <c r="BH44" s="35">
        <v>285.7</v>
      </c>
      <c r="BI44" s="35">
        <v>315.60000000000002</v>
      </c>
      <c r="BJ44" s="35">
        <v>346.3</v>
      </c>
      <c r="BK44" s="55"/>
      <c r="BL44" s="35">
        <v>286.8</v>
      </c>
      <c r="BM44" s="35">
        <v>317.39999999999998</v>
      </c>
      <c r="BN44" s="35">
        <v>348.3</v>
      </c>
      <c r="BO44" s="59"/>
      <c r="BP44" s="35">
        <v>304.10000000000002</v>
      </c>
      <c r="BQ44" s="35">
        <v>334.9</v>
      </c>
      <c r="BR44" s="35">
        <v>365.7</v>
      </c>
      <c r="BS44" s="55"/>
      <c r="BT44" s="35">
        <v>273.5</v>
      </c>
      <c r="BU44" s="35">
        <v>304</v>
      </c>
      <c r="BV44" s="35">
        <v>335</v>
      </c>
      <c r="BW44" s="55"/>
      <c r="BX44" s="36">
        <v>270.8</v>
      </c>
      <c r="BY44" s="36">
        <v>301.60000000000002</v>
      </c>
      <c r="BZ44" s="36">
        <v>332.6</v>
      </c>
      <c r="CA44" s="55"/>
      <c r="CB44" s="36">
        <v>257.10000000000002</v>
      </c>
      <c r="CC44" s="36">
        <v>288</v>
      </c>
      <c r="CD44" s="36">
        <v>318.89999999999998</v>
      </c>
      <c r="CE44" s="55"/>
    </row>
    <row r="45" spans="6:83">
      <c r="F45" s="19">
        <v>33</v>
      </c>
      <c r="G45" s="71">
        <v>44652</v>
      </c>
      <c r="H45" s="34">
        <v>161.4</v>
      </c>
      <c r="I45" s="34">
        <v>191</v>
      </c>
      <c r="J45" s="35">
        <v>220.9</v>
      </c>
      <c r="K45" s="54"/>
      <c r="L45" s="35">
        <v>175.2</v>
      </c>
      <c r="M45" s="35">
        <v>203.7</v>
      </c>
      <c r="N45" s="35">
        <v>232.8</v>
      </c>
      <c r="O45" s="54"/>
      <c r="P45" s="36">
        <v>201.2</v>
      </c>
      <c r="Q45" s="35">
        <v>230</v>
      </c>
      <c r="R45" s="35">
        <v>259.39999999999998</v>
      </c>
      <c r="S45" s="54"/>
      <c r="T45" s="35">
        <v>195.3</v>
      </c>
      <c r="U45" s="35">
        <v>222.9</v>
      </c>
      <c r="V45" s="35">
        <v>251.4</v>
      </c>
      <c r="W45" s="54"/>
      <c r="X45" s="35">
        <v>195.5</v>
      </c>
      <c r="Y45" s="35">
        <v>223.9</v>
      </c>
      <c r="Z45" s="35">
        <v>252.9</v>
      </c>
      <c r="AA45" s="54"/>
      <c r="AB45" s="35">
        <v>155.9</v>
      </c>
      <c r="AC45" s="35">
        <v>182.3</v>
      </c>
      <c r="AD45" s="35">
        <v>210.4</v>
      </c>
      <c r="AE45" s="55"/>
      <c r="AF45" s="35">
        <v>171.7</v>
      </c>
      <c r="AG45" s="35">
        <v>201.1</v>
      </c>
      <c r="AH45" s="35">
        <v>230.8</v>
      </c>
      <c r="AI45" s="55"/>
      <c r="AJ45" s="36">
        <v>187.1</v>
      </c>
      <c r="AK45" s="36">
        <v>216</v>
      </c>
      <c r="AL45" s="36">
        <v>245.5</v>
      </c>
      <c r="AM45" s="55"/>
      <c r="AN45" s="35">
        <v>196.4</v>
      </c>
      <c r="AO45" s="35">
        <v>225.4</v>
      </c>
      <c r="AP45" s="35">
        <v>255</v>
      </c>
      <c r="AQ45" s="55"/>
      <c r="AR45" s="35">
        <v>179.7</v>
      </c>
      <c r="AS45" s="35">
        <v>208.1</v>
      </c>
      <c r="AT45" s="35">
        <v>237.6</v>
      </c>
      <c r="AU45" s="55"/>
      <c r="AV45" s="36">
        <v>192.6</v>
      </c>
      <c r="AW45" s="36">
        <v>220.9</v>
      </c>
      <c r="AX45" s="36">
        <v>250</v>
      </c>
      <c r="AY45" s="55"/>
      <c r="AZ45" s="35">
        <v>233.3</v>
      </c>
      <c r="BA45" s="35">
        <v>262.5</v>
      </c>
      <c r="BB45" s="35">
        <v>292.10000000000002</v>
      </c>
      <c r="BC45" s="55"/>
      <c r="BD45" s="35">
        <v>234.3</v>
      </c>
      <c r="BE45" s="35">
        <v>263.89999999999998</v>
      </c>
      <c r="BF45" s="35">
        <v>293.5</v>
      </c>
      <c r="BG45" s="55"/>
      <c r="BH45" s="35">
        <v>211.8</v>
      </c>
      <c r="BI45" s="35">
        <v>241.3</v>
      </c>
      <c r="BJ45" s="35">
        <v>270.89999999999998</v>
      </c>
      <c r="BK45" s="55"/>
      <c r="BL45" s="35">
        <v>227.1</v>
      </c>
      <c r="BM45" s="35">
        <v>257</v>
      </c>
      <c r="BN45" s="35">
        <v>286.89999999999998</v>
      </c>
      <c r="BO45" s="59"/>
      <c r="BP45" s="35">
        <v>260.60000000000002</v>
      </c>
      <c r="BQ45" s="35">
        <v>290.60000000000002</v>
      </c>
      <c r="BR45" s="35">
        <v>320.60000000000002</v>
      </c>
      <c r="BS45" s="55"/>
      <c r="BT45" s="35">
        <v>223.7</v>
      </c>
      <c r="BU45" s="35">
        <v>253.7</v>
      </c>
      <c r="BV45" s="35">
        <v>283.7</v>
      </c>
      <c r="BW45" s="55"/>
      <c r="BX45" s="36">
        <v>223.1</v>
      </c>
      <c r="BY45" s="36">
        <v>253</v>
      </c>
      <c r="BZ45" s="36">
        <v>282.89999999999998</v>
      </c>
      <c r="CA45" s="55"/>
      <c r="CB45" s="36">
        <v>200.5</v>
      </c>
      <c r="CC45" s="36">
        <v>230.5</v>
      </c>
      <c r="CD45" s="36">
        <v>260.5</v>
      </c>
      <c r="CE45" s="55"/>
    </row>
    <row r="46" spans="6:83">
      <c r="F46" s="19">
        <v>34</v>
      </c>
      <c r="G46" s="71">
        <v>44682</v>
      </c>
      <c r="H46" s="34">
        <v>85.1</v>
      </c>
      <c r="I46" s="34">
        <v>114.3</v>
      </c>
      <c r="J46" s="35">
        <v>144.5</v>
      </c>
      <c r="K46" s="54"/>
      <c r="L46" s="35">
        <v>90.9</v>
      </c>
      <c r="M46" s="35">
        <v>113.6</v>
      </c>
      <c r="N46" s="35">
        <v>139.6</v>
      </c>
      <c r="O46" s="54"/>
      <c r="P46" s="36">
        <v>101.7</v>
      </c>
      <c r="Q46" s="35">
        <v>129.5</v>
      </c>
      <c r="R46" s="35">
        <v>158.4</v>
      </c>
      <c r="S46" s="54"/>
      <c r="T46" s="35">
        <v>89.8</v>
      </c>
      <c r="U46" s="35">
        <v>112.9</v>
      </c>
      <c r="V46" s="35">
        <v>138.19999999999999</v>
      </c>
      <c r="W46" s="54"/>
      <c r="X46" s="35">
        <v>87.3</v>
      </c>
      <c r="Y46" s="35">
        <v>111.8</v>
      </c>
      <c r="Z46" s="35">
        <v>138</v>
      </c>
      <c r="AA46" s="54"/>
      <c r="AB46" s="35">
        <v>62.9</v>
      </c>
      <c r="AC46" s="35">
        <v>84.3</v>
      </c>
      <c r="AD46" s="35">
        <v>107.7</v>
      </c>
      <c r="AE46" s="55"/>
      <c r="AF46" s="35">
        <v>77.400000000000006</v>
      </c>
      <c r="AG46" s="35">
        <v>102.8</v>
      </c>
      <c r="AH46" s="35">
        <v>130.80000000000001</v>
      </c>
      <c r="AI46" s="55"/>
      <c r="AJ46" s="36">
        <v>80.3</v>
      </c>
      <c r="AK46" s="36">
        <v>102.7</v>
      </c>
      <c r="AL46" s="36">
        <v>127.9</v>
      </c>
      <c r="AM46" s="55"/>
      <c r="AN46" s="35">
        <v>94.8</v>
      </c>
      <c r="AO46" s="35">
        <v>123</v>
      </c>
      <c r="AP46" s="35">
        <v>152.19999999999999</v>
      </c>
      <c r="AQ46" s="55"/>
      <c r="AR46" s="35">
        <v>87.3</v>
      </c>
      <c r="AS46" s="35">
        <v>115.2</v>
      </c>
      <c r="AT46" s="35">
        <v>144.69999999999999</v>
      </c>
      <c r="AU46" s="55"/>
      <c r="AV46" s="36">
        <v>96.1</v>
      </c>
      <c r="AW46" s="36">
        <v>122.5</v>
      </c>
      <c r="AX46" s="36">
        <v>150.5</v>
      </c>
      <c r="AY46" s="55"/>
      <c r="AZ46" s="35">
        <v>128.30000000000001</v>
      </c>
      <c r="BA46" s="35">
        <v>156.9</v>
      </c>
      <c r="BB46" s="35">
        <v>186.4</v>
      </c>
      <c r="BC46" s="55"/>
      <c r="BD46" s="35">
        <v>118.9</v>
      </c>
      <c r="BE46" s="35">
        <v>147.1</v>
      </c>
      <c r="BF46" s="35">
        <v>176.7</v>
      </c>
      <c r="BG46" s="55"/>
      <c r="BH46" s="35">
        <v>117.9</v>
      </c>
      <c r="BI46" s="35">
        <v>147.1</v>
      </c>
      <c r="BJ46" s="35">
        <v>177.7</v>
      </c>
      <c r="BK46" s="55"/>
      <c r="BL46" s="35">
        <v>117.2</v>
      </c>
      <c r="BM46" s="35">
        <v>145.9</v>
      </c>
      <c r="BN46" s="35">
        <v>175.9</v>
      </c>
      <c r="BO46" s="59"/>
      <c r="BP46" s="35">
        <v>141.30000000000001</v>
      </c>
      <c r="BQ46" s="35">
        <v>170.2</v>
      </c>
      <c r="BR46" s="35">
        <v>200.4</v>
      </c>
      <c r="BS46" s="55"/>
      <c r="BT46" s="35">
        <v>119.2</v>
      </c>
      <c r="BU46" s="35">
        <v>148.80000000000001</v>
      </c>
      <c r="BV46" s="35">
        <v>179.4</v>
      </c>
      <c r="BW46" s="55"/>
      <c r="BX46" s="36">
        <v>111</v>
      </c>
      <c r="BY46" s="36">
        <v>139.6</v>
      </c>
      <c r="BZ46" s="36">
        <v>169.7</v>
      </c>
      <c r="CA46" s="55"/>
      <c r="CB46" s="36">
        <v>112.9</v>
      </c>
      <c r="CC46" s="36">
        <v>142.19999999999999</v>
      </c>
      <c r="CD46" s="36">
        <v>173</v>
      </c>
      <c r="CE46" s="55"/>
    </row>
    <row r="47" spans="6:83">
      <c r="F47" s="19">
        <v>35</v>
      </c>
      <c r="G47" s="71">
        <v>44713</v>
      </c>
      <c r="H47" s="34">
        <v>37.9</v>
      </c>
      <c r="I47" s="34">
        <v>58.7</v>
      </c>
      <c r="J47" s="35">
        <v>83.8</v>
      </c>
      <c r="K47" s="54"/>
      <c r="L47" s="35">
        <v>55.2</v>
      </c>
      <c r="M47" s="35">
        <v>72.900000000000006</v>
      </c>
      <c r="N47" s="35">
        <v>92.9</v>
      </c>
      <c r="O47" s="54"/>
      <c r="P47" s="36">
        <v>55</v>
      </c>
      <c r="Q47" s="35">
        <v>75.5</v>
      </c>
      <c r="R47" s="35">
        <v>99.2</v>
      </c>
      <c r="S47" s="54"/>
      <c r="T47" s="35">
        <v>52</v>
      </c>
      <c r="U47" s="35">
        <v>68</v>
      </c>
      <c r="V47" s="35">
        <v>86.9</v>
      </c>
      <c r="W47" s="54"/>
      <c r="X47" s="35">
        <v>54.9</v>
      </c>
      <c r="Y47" s="35">
        <v>72.400000000000006</v>
      </c>
      <c r="Z47" s="35">
        <v>92.8</v>
      </c>
      <c r="AA47" s="54"/>
      <c r="AB47" s="35">
        <v>27.5</v>
      </c>
      <c r="AC47" s="35">
        <v>40.6</v>
      </c>
      <c r="AD47" s="35">
        <v>56.1</v>
      </c>
      <c r="AE47" s="55"/>
      <c r="AF47" s="35">
        <v>27.6</v>
      </c>
      <c r="AG47" s="35">
        <v>42.4</v>
      </c>
      <c r="AH47" s="35">
        <v>60.9</v>
      </c>
      <c r="AI47" s="55"/>
      <c r="AJ47" s="36">
        <v>43.2</v>
      </c>
      <c r="AK47" s="36">
        <v>58.2</v>
      </c>
      <c r="AL47" s="36">
        <v>75.599999999999994</v>
      </c>
      <c r="AM47" s="55"/>
      <c r="AN47" s="35">
        <v>57.8</v>
      </c>
      <c r="AO47" s="35">
        <v>78.599999999999994</v>
      </c>
      <c r="AP47" s="35">
        <v>103.2</v>
      </c>
      <c r="AQ47" s="55"/>
      <c r="AR47" s="35">
        <v>42.2</v>
      </c>
      <c r="AS47" s="35">
        <v>61.5</v>
      </c>
      <c r="AT47" s="35">
        <v>84.4</v>
      </c>
      <c r="AU47" s="55"/>
      <c r="AV47" s="36">
        <v>54.5</v>
      </c>
      <c r="AW47" s="36">
        <v>73.3</v>
      </c>
      <c r="AX47" s="36">
        <v>94.2</v>
      </c>
      <c r="AY47" s="55"/>
      <c r="AZ47" s="35">
        <v>71.599999999999994</v>
      </c>
      <c r="BA47" s="35">
        <v>92.7</v>
      </c>
      <c r="BB47" s="35">
        <v>116.8</v>
      </c>
      <c r="BC47" s="55"/>
      <c r="BD47" s="35">
        <v>63.9</v>
      </c>
      <c r="BE47" s="35">
        <v>84</v>
      </c>
      <c r="BF47" s="35">
        <v>107</v>
      </c>
      <c r="BG47" s="55"/>
      <c r="BH47" s="35">
        <v>65.5</v>
      </c>
      <c r="BI47" s="35">
        <v>88.1</v>
      </c>
      <c r="BJ47" s="35">
        <v>113.4</v>
      </c>
      <c r="BK47" s="55"/>
      <c r="BL47" s="35">
        <v>64.7</v>
      </c>
      <c r="BM47" s="35">
        <v>86.7</v>
      </c>
      <c r="BN47" s="35">
        <v>110.7</v>
      </c>
      <c r="BO47" s="59"/>
      <c r="BP47" s="35">
        <v>71.2</v>
      </c>
      <c r="BQ47" s="35">
        <v>94.1</v>
      </c>
      <c r="BR47" s="35">
        <v>119.3</v>
      </c>
      <c r="BS47" s="55"/>
      <c r="BT47" s="35">
        <v>67.3</v>
      </c>
      <c r="BU47" s="35">
        <v>91.5</v>
      </c>
      <c r="BV47" s="35">
        <v>118.2</v>
      </c>
      <c r="BW47" s="55"/>
      <c r="BX47" s="36">
        <v>68.900000000000006</v>
      </c>
      <c r="BY47" s="36">
        <v>92.4</v>
      </c>
      <c r="BZ47" s="36">
        <v>117.8</v>
      </c>
      <c r="CA47" s="55"/>
      <c r="CB47" s="36">
        <v>81.2</v>
      </c>
      <c r="CC47" s="36">
        <v>107.1</v>
      </c>
      <c r="CD47" s="36">
        <v>134.6</v>
      </c>
      <c r="CE47" s="55"/>
    </row>
    <row r="48" spans="6:83">
      <c r="F48" s="19">
        <v>36</v>
      </c>
      <c r="G48" s="71">
        <v>44743</v>
      </c>
      <c r="H48" s="34">
        <v>8.1999999999999993</v>
      </c>
      <c r="I48" s="34">
        <v>18.2</v>
      </c>
      <c r="J48" s="35">
        <v>31.5</v>
      </c>
      <c r="K48" s="54"/>
      <c r="L48" s="35">
        <v>29.5</v>
      </c>
      <c r="M48" s="35">
        <v>39.799999999999997</v>
      </c>
      <c r="N48" s="35">
        <v>52.7</v>
      </c>
      <c r="O48" s="54"/>
      <c r="P48" s="36">
        <v>17.2</v>
      </c>
      <c r="Q48" s="35">
        <v>27.3</v>
      </c>
      <c r="R48" s="35">
        <v>41.4</v>
      </c>
      <c r="S48" s="54"/>
      <c r="T48" s="35">
        <v>22.9</v>
      </c>
      <c r="U48" s="35">
        <v>30.9</v>
      </c>
      <c r="V48" s="35">
        <v>41.1</v>
      </c>
      <c r="W48" s="54"/>
      <c r="X48" s="35">
        <v>18.8</v>
      </c>
      <c r="Y48" s="35">
        <v>28.2</v>
      </c>
      <c r="Z48" s="35">
        <v>40.799999999999997</v>
      </c>
      <c r="AA48" s="54"/>
      <c r="AB48" s="35">
        <v>5.2</v>
      </c>
      <c r="AC48" s="35">
        <v>9.4</v>
      </c>
      <c r="AD48" s="35">
        <v>15.8</v>
      </c>
      <c r="AE48" s="55"/>
      <c r="AF48" s="35">
        <v>11.3</v>
      </c>
      <c r="AG48" s="35">
        <v>17.100000000000001</v>
      </c>
      <c r="AH48" s="35">
        <v>25.4</v>
      </c>
      <c r="AI48" s="55"/>
      <c r="AJ48" s="36">
        <v>17.3</v>
      </c>
      <c r="AK48" s="36">
        <v>26</v>
      </c>
      <c r="AL48" s="36">
        <v>36.200000000000003</v>
      </c>
      <c r="AM48" s="55"/>
      <c r="AN48" s="35">
        <v>20.100000000000001</v>
      </c>
      <c r="AO48" s="35">
        <v>33.6</v>
      </c>
      <c r="AP48" s="35">
        <v>51.6</v>
      </c>
      <c r="AQ48" s="55"/>
      <c r="AR48" s="35">
        <v>14.7</v>
      </c>
      <c r="AS48" s="35">
        <v>23.6</v>
      </c>
      <c r="AT48" s="35">
        <v>35.700000000000003</v>
      </c>
      <c r="AU48" s="55"/>
      <c r="AV48" s="36">
        <v>18.8</v>
      </c>
      <c r="AW48" s="36">
        <v>30.7</v>
      </c>
      <c r="AX48" s="36">
        <v>45.9</v>
      </c>
      <c r="AY48" s="55"/>
      <c r="AZ48" s="35">
        <v>29.2</v>
      </c>
      <c r="BA48" s="35">
        <v>44.7</v>
      </c>
      <c r="BB48" s="35">
        <v>63.6</v>
      </c>
      <c r="BC48" s="55"/>
      <c r="BD48" s="35">
        <v>24.7</v>
      </c>
      <c r="BE48" s="35">
        <v>38.5</v>
      </c>
      <c r="BF48" s="35">
        <v>55.6</v>
      </c>
      <c r="BG48" s="55"/>
      <c r="BH48" s="35">
        <v>38.5</v>
      </c>
      <c r="BI48" s="35">
        <v>56.4</v>
      </c>
      <c r="BJ48" s="35">
        <v>77.8</v>
      </c>
      <c r="BK48" s="55"/>
      <c r="BL48" s="35">
        <v>30.2</v>
      </c>
      <c r="BM48" s="35">
        <v>44.9</v>
      </c>
      <c r="BN48" s="35">
        <v>62.7</v>
      </c>
      <c r="BO48" s="59"/>
      <c r="BP48" s="35">
        <v>39.299999999999997</v>
      </c>
      <c r="BQ48" s="35">
        <v>57.8</v>
      </c>
      <c r="BR48" s="35">
        <v>79.5</v>
      </c>
      <c r="BS48" s="55"/>
      <c r="BT48" s="35">
        <v>36.4</v>
      </c>
      <c r="BU48" s="35">
        <v>54.4</v>
      </c>
      <c r="BV48" s="35">
        <v>75.900000000000006</v>
      </c>
      <c r="BW48" s="55"/>
      <c r="BX48" s="36">
        <v>29.2</v>
      </c>
      <c r="BY48" s="36">
        <v>43.4</v>
      </c>
      <c r="BZ48" s="36">
        <v>60.8</v>
      </c>
      <c r="CA48" s="55"/>
      <c r="CB48" s="36">
        <v>29.7</v>
      </c>
      <c r="CC48" s="36">
        <v>45.8</v>
      </c>
      <c r="CD48" s="36">
        <v>66.5</v>
      </c>
      <c r="CE48" s="55"/>
    </row>
    <row r="49" spans="11:83">
      <c r="K49" s="51"/>
      <c r="O49" s="51"/>
      <c r="S49" s="51"/>
      <c r="W49" s="51"/>
      <c r="AA49" s="51"/>
      <c r="AE49" s="51"/>
      <c r="AI49" s="58"/>
      <c r="AM49" s="58"/>
      <c r="AQ49" s="58"/>
      <c r="AU49" s="58"/>
      <c r="AY49" s="58"/>
      <c r="AZ49" s="19"/>
      <c r="BA49" s="19"/>
      <c r="BB49" s="19"/>
      <c r="BC49" s="58"/>
      <c r="BG49" s="58"/>
      <c r="BK49" s="58"/>
      <c r="BO49" s="58"/>
      <c r="BS49" s="58"/>
      <c r="BW49" s="58"/>
      <c r="CA49" s="58"/>
      <c r="CE49" s="58"/>
    </row>
  </sheetData>
  <conditionalFormatting sqref="H9:CB9">
    <cfRule type="colorScale" priority="8">
      <colorScale>
        <cfvo type="min"/>
        <cfvo type="percentile" val="50"/>
        <cfvo type="max"/>
        <color rgb="FFF8696B"/>
        <color rgb="FFFFEB84"/>
        <color rgb="FF63BE7B"/>
      </colorScale>
    </cfRule>
  </conditionalFormatting>
  <conditionalFormatting sqref="H9:CE9">
    <cfRule type="colorScale" priority="4">
      <colorScale>
        <cfvo type="min"/>
        <cfvo type="percentile" val="50"/>
        <cfvo type="max"/>
        <color rgb="FFF8696B"/>
        <color rgb="FFFFEB84"/>
        <color rgb="FF63BE7B"/>
      </colorScale>
    </cfRule>
  </conditionalFormatting>
  <conditionalFormatting sqref="H8:CD9">
    <cfRule type="colorScale" priority="6">
      <colorScale>
        <cfvo type="min"/>
        <cfvo type="percentile" val="50"/>
        <cfvo type="max"/>
        <color rgb="FF63BE7B"/>
        <color rgb="FFFFEB84"/>
        <color rgb="FFF8696B"/>
      </colorScale>
    </cfRule>
  </conditionalFormatting>
  <conditionalFormatting sqref="H8:CE8">
    <cfRule type="colorScale" priority="3">
      <colorScale>
        <cfvo type="min"/>
        <cfvo type="percentile" val="50"/>
        <cfvo type="max"/>
        <color rgb="FFF8696B"/>
        <color rgb="FFFFEB84"/>
        <color rgb="FF63BE7B"/>
      </colorScale>
    </cfRule>
  </conditionalFormatting>
  <conditionalFormatting sqref="CE9">
    <cfRule type="colorScale" priority="2">
      <colorScale>
        <cfvo type="min"/>
        <cfvo type="percentile" val="50"/>
        <cfvo type="max"/>
        <color rgb="FFF8696B"/>
        <color rgb="FFFFEB84"/>
        <color rgb="FF63BE7B"/>
      </colorScale>
    </cfRule>
  </conditionalFormatting>
  <conditionalFormatting sqref="CE8:CE9">
    <cfRule type="colorScale" priority="1">
      <colorScale>
        <cfvo type="min"/>
        <cfvo type="percentile" val="50"/>
        <cfvo type="max"/>
        <color rgb="FF63BE7B"/>
        <color rgb="FFFFEB84"/>
        <color rgb="FFF8696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Erklärung Deutsch</vt:lpstr>
      <vt:lpstr>INTRO</vt:lpstr>
      <vt:lpstr>1. HOUSEHOLD TEMPERATURE</vt:lpstr>
      <vt:lpstr>2. HOT WATER</vt:lpstr>
      <vt:lpstr>3. HEAT PUMP CALCULATION</vt:lpstr>
      <vt:lpstr>4. RADIATORS</vt:lpstr>
      <vt:lpstr>5 RADIATORS </vt:lpstr>
      <vt:lpstr>6.  SUMMARY</vt:lpstr>
      <vt:lpstr>Reference -UK HDD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de Podesta</dc:creator>
  <cp:keywords/>
  <dc:description/>
  <cp:lastModifiedBy>Többen, Hannes - Gemeinde Ritterhude</cp:lastModifiedBy>
  <dcterms:created xsi:type="dcterms:W3CDTF">2022-08-23T12:10:54Z</dcterms:created>
  <dcterms:modified xsi:type="dcterms:W3CDTF">2025-02-24T10:38:26Z</dcterms:modified>
  <cp:category/>
</cp:coreProperties>
</file>